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D:\Marselisborgsalen\"/>
    </mc:Choice>
  </mc:AlternateContent>
  <xr:revisionPtr revIDLastSave="0" documentId="8_{144CD980-10C7-4D9D-813B-804C882996E6}" xr6:coauthVersionLast="45" xr6:coauthVersionMax="45" xr10:uidLastSave="{00000000-0000-0000-0000-000000000000}"/>
  <workbookProtection workbookAlgorithmName="SHA-512" workbookHashValue="Gp1/7MfpcZn9AHp8afM5ZMfvYBz9LFBIEHCO+Uhxc6JHMviKV566Nd/pRu0g3unlSlVQQeIb+5fi+nsS0uA0lw==" workbookSaltValue="+DGiHJYHzyRc/ENeLvwB1g==" workbookSpinCount="100000" lockStructure="1"/>
  <bookViews>
    <workbookView xWindow="-110" yWindow="-110" windowWidth="19420" windowHeight="10420" tabRatio="752" firstSheet="1" activeTab="1" xr2:uid="{00000000-000D-0000-FFFF-FFFF00000000}"/>
  </bookViews>
  <sheets>
    <sheet name="INFO" sheetId="29" r:id="rId1"/>
    <sheet name="Building Information" sheetId="30" r:id="rId2"/>
    <sheet name="Calculation Sheet" sheetId="35" r:id="rId3"/>
    <sheet name="Results" sheetId="37" r:id="rId4"/>
    <sheet name="Weightings" sheetId="36" r:id="rId5"/>
    <sheet name="overview_of_services" sheetId="5" r:id="rId6"/>
    <sheet name="Feedback" sheetId="38" r:id="rId7"/>
    <sheet name="heating" sheetId="7" r:id="rId8"/>
    <sheet name="dhw" sheetId="12" r:id="rId9"/>
    <sheet name="cooling" sheetId="13" r:id="rId10"/>
    <sheet name="ventilation" sheetId="14" r:id="rId11"/>
    <sheet name="lighting" sheetId="15" r:id="rId12"/>
    <sheet name="DE" sheetId="16" r:id="rId13"/>
    <sheet name="electricity" sheetId="18" r:id="rId14"/>
    <sheet name="EV" sheetId="20" r:id="rId15"/>
    <sheet name="MC" sheetId="24" r:id="rId16"/>
    <sheet name="various" sheetId="23" r:id="rId17"/>
    <sheet name="_general" sheetId="31" state="hidden" r:id="rId18"/>
  </sheets>
  <externalReferences>
    <externalReference r:id="rId19"/>
  </externalReferences>
  <definedNames>
    <definedName name="_xlnm._FilterDatabase" localSheetId="5" hidden="1">overview_of_services!$A$1:$R$121</definedName>
    <definedName name="no">_general!$J$3:$J$4</definedName>
    <definedName name="No_storage_present">_general!$J$28:$J$29</definedName>
    <definedName name="non_residential">_general!$D$3:$D$6</definedName>
    <definedName name="residential">_general!$C$3:$C$6</definedName>
    <definedName name="Storage_present">_general!$I$28:$I$29</definedName>
    <definedName name="yes">_general!$I$3:$I$4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8" i="38" l="1"/>
  <c r="C17" i="38"/>
  <c r="C16" i="38"/>
  <c r="C15" i="38"/>
  <c r="C14" i="38"/>
  <c r="C13" i="38"/>
  <c r="C12" i="38"/>
  <c r="C11" i="38"/>
  <c r="B11" i="36"/>
  <c r="H84" i="36"/>
  <c r="G84" i="36"/>
  <c r="AS62" i="36" s="1"/>
  <c r="F84" i="36"/>
  <c r="E84" i="36"/>
  <c r="D84" i="36"/>
  <c r="C84" i="36"/>
  <c r="B84" i="36"/>
  <c r="B62" i="36" s="1"/>
  <c r="H83" i="36"/>
  <c r="G83" i="36"/>
  <c r="AJ61" i="36" s="1"/>
  <c r="F83" i="36"/>
  <c r="AI40" i="36" s="1"/>
  <c r="E83" i="36"/>
  <c r="D83" i="36"/>
  <c r="N61" i="36" s="1"/>
  <c r="C83" i="36"/>
  <c r="C61" i="36" s="1"/>
  <c r="B83" i="36"/>
  <c r="H82" i="36"/>
  <c r="G82" i="36"/>
  <c r="Q60" i="36" s="1"/>
  <c r="F82" i="36"/>
  <c r="E82" i="36"/>
  <c r="AH60" i="36" s="1"/>
  <c r="D82" i="36"/>
  <c r="C82" i="36"/>
  <c r="M60" i="36" s="1"/>
  <c r="B82" i="36"/>
  <c r="AE60" i="36" s="1"/>
  <c r="H81" i="36"/>
  <c r="G81" i="36"/>
  <c r="F81" i="36"/>
  <c r="AI59" i="36" s="1"/>
  <c r="E81" i="36"/>
  <c r="D81" i="36"/>
  <c r="N38" i="36" s="1"/>
  <c r="C81" i="36"/>
  <c r="B81" i="36"/>
  <c r="H80" i="36"/>
  <c r="AK58" i="36" s="1"/>
  <c r="G80" i="36"/>
  <c r="F80" i="36"/>
  <c r="F58" i="36" s="1"/>
  <c r="E80" i="36"/>
  <c r="D80" i="36"/>
  <c r="C80" i="36"/>
  <c r="B80" i="36"/>
  <c r="H79" i="36"/>
  <c r="G79" i="36"/>
  <c r="F79" i="36"/>
  <c r="E79" i="36"/>
  <c r="D79" i="36"/>
  <c r="C79" i="36"/>
  <c r="B79" i="36"/>
  <c r="H78" i="36"/>
  <c r="G78" i="36"/>
  <c r="F78" i="36"/>
  <c r="AI56" i="36" s="1"/>
  <c r="E78" i="36"/>
  <c r="D78" i="36"/>
  <c r="C78" i="36"/>
  <c r="B78" i="36"/>
  <c r="H77" i="36"/>
  <c r="R61" i="36" s="1"/>
  <c r="G77" i="36"/>
  <c r="F77" i="36"/>
  <c r="AI55" i="36" s="1"/>
  <c r="E77" i="36"/>
  <c r="D77" i="36"/>
  <c r="C77" i="36"/>
  <c r="B77" i="36"/>
  <c r="H76" i="36"/>
  <c r="G76" i="36"/>
  <c r="F76" i="36"/>
  <c r="E76" i="36"/>
  <c r="D76" i="36"/>
  <c r="C76" i="36"/>
  <c r="AT67" i="36"/>
  <c r="AS67" i="36"/>
  <c r="AR67" i="36"/>
  <c r="AQ67" i="36"/>
  <c r="AP67" i="36"/>
  <c r="AO67" i="36"/>
  <c r="AN67" i="36"/>
  <c r="AK67" i="36"/>
  <c r="AJ67" i="36"/>
  <c r="AI67" i="36"/>
  <c r="AH67" i="36"/>
  <c r="AG67" i="36"/>
  <c r="AF67" i="36"/>
  <c r="AE67" i="36"/>
  <c r="AB67" i="36"/>
  <c r="AA67" i="36"/>
  <c r="Z67" i="36"/>
  <c r="Y67" i="36"/>
  <c r="X67" i="36"/>
  <c r="W67" i="36"/>
  <c r="V67" i="36"/>
  <c r="R67" i="36"/>
  <c r="Q67" i="36"/>
  <c r="P67" i="36"/>
  <c r="O67" i="36"/>
  <c r="N67" i="36"/>
  <c r="M67" i="36"/>
  <c r="L67" i="36"/>
  <c r="S67" i="36" s="1"/>
  <c r="H67" i="36"/>
  <c r="G67" i="36"/>
  <c r="F67" i="36"/>
  <c r="E67" i="36"/>
  <c r="D67" i="36"/>
  <c r="C67" i="36"/>
  <c r="B67" i="36"/>
  <c r="AO62" i="36"/>
  <c r="AF62" i="36"/>
  <c r="W62" i="36"/>
  <c r="M62" i="36"/>
  <c r="C62" i="36"/>
  <c r="AP61" i="36"/>
  <c r="AN61" i="36"/>
  <c r="AE61" i="36"/>
  <c r="V61" i="36"/>
  <c r="L61" i="36"/>
  <c r="D61" i="36"/>
  <c r="B61" i="36"/>
  <c r="AS60" i="36"/>
  <c r="AO60" i="36"/>
  <c r="W60" i="36"/>
  <c r="G60" i="36"/>
  <c r="C60" i="36"/>
  <c r="AR59" i="36"/>
  <c r="P59" i="36"/>
  <c r="F59" i="36"/>
  <c r="AR55" i="36"/>
  <c r="P55" i="36"/>
  <c r="AR54" i="36"/>
  <c r="AI54" i="36"/>
  <c r="Z54" i="36"/>
  <c r="P54" i="36"/>
  <c r="F54" i="36"/>
  <c r="AT46" i="36"/>
  <c r="AS46" i="36"/>
  <c r="AR46" i="36"/>
  <c r="AQ46" i="36"/>
  <c r="AP46" i="36"/>
  <c r="AO46" i="36"/>
  <c r="AN46" i="36"/>
  <c r="AK46" i="36"/>
  <c r="AJ46" i="36"/>
  <c r="AI46" i="36"/>
  <c r="AH46" i="36"/>
  <c r="AG46" i="36"/>
  <c r="AF46" i="36"/>
  <c r="AE46" i="36"/>
  <c r="AB46" i="36"/>
  <c r="AA46" i="36"/>
  <c r="Z46" i="36"/>
  <c r="Y46" i="36"/>
  <c r="X46" i="36"/>
  <c r="W46" i="36"/>
  <c r="V46" i="36"/>
  <c r="AC46" i="36" s="1"/>
  <c r="R46" i="36"/>
  <c r="Q46" i="36"/>
  <c r="P46" i="36"/>
  <c r="O46" i="36"/>
  <c r="N46" i="36"/>
  <c r="M46" i="36"/>
  <c r="L46" i="36"/>
  <c r="H46" i="36"/>
  <c r="G46" i="36"/>
  <c r="F46" i="36"/>
  <c r="E46" i="36"/>
  <c r="D46" i="36"/>
  <c r="C46" i="36"/>
  <c r="B46" i="36"/>
  <c r="AO41" i="36"/>
  <c r="AN41" i="36"/>
  <c r="AF41" i="36"/>
  <c r="W41" i="36"/>
  <c r="M41" i="36"/>
  <c r="C41" i="36"/>
  <c r="AP40" i="36"/>
  <c r="AN40" i="36"/>
  <c r="AJ40" i="36"/>
  <c r="AG40" i="36"/>
  <c r="AF40" i="36"/>
  <c r="AE40" i="36"/>
  <c r="W40" i="36"/>
  <c r="V40" i="36"/>
  <c r="L40" i="36"/>
  <c r="G40" i="36"/>
  <c r="B40" i="36"/>
  <c r="AS39" i="36"/>
  <c r="AN39" i="36"/>
  <c r="AJ39" i="36"/>
  <c r="AA39" i="36"/>
  <c r="Q39" i="36"/>
  <c r="G39" i="36"/>
  <c r="C39" i="36"/>
  <c r="AR38" i="36"/>
  <c r="AI38" i="36"/>
  <c r="Z38" i="36"/>
  <c r="P38" i="36"/>
  <c r="F38" i="36"/>
  <c r="AK37" i="36"/>
  <c r="AH37" i="36"/>
  <c r="H37" i="36"/>
  <c r="AR35" i="36"/>
  <c r="P35" i="36"/>
  <c r="AI34" i="36"/>
  <c r="F34" i="36"/>
  <c r="AR33" i="36"/>
  <c r="AI33" i="36"/>
  <c r="Z33" i="36"/>
  <c r="P33" i="36"/>
  <c r="F33" i="36"/>
  <c r="H22" i="36"/>
  <c r="G22" i="36"/>
  <c r="F22" i="36"/>
  <c r="E22" i="36"/>
  <c r="D22" i="36"/>
  <c r="C22" i="36"/>
  <c r="B22" i="36"/>
  <c r="F18" i="36"/>
  <c r="H17" i="36"/>
  <c r="G17" i="36"/>
  <c r="E17" i="36"/>
  <c r="C17" i="36"/>
  <c r="B17" i="36"/>
  <c r="H16" i="36"/>
  <c r="E16" i="36"/>
  <c r="C16" i="36"/>
  <c r="B16" i="36"/>
  <c r="H15" i="36"/>
  <c r="G15" i="36"/>
  <c r="E15" i="36"/>
  <c r="D15" i="36"/>
  <c r="C15" i="36"/>
  <c r="B15" i="36"/>
  <c r="H14" i="36"/>
  <c r="G14" i="36"/>
  <c r="E14" i="36"/>
  <c r="C14" i="36"/>
  <c r="B14" i="36"/>
  <c r="E13" i="36"/>
  <c r="D13" i="36"/>
  <c r="B13" i="36"/>
  <c r="H12" i="36"/>
  <c r="G12" i="36"/>
  <c r="E12" i="36"/>
  <c r="D12" i="36"/>
  <c r="C12" i="36"/>
  <c r="B12" i="36"/>
  <c r="H11" i="36"/>
  <c r="G11" i="36"/>
  <c r="E11" i="36"/>
  <c r="D11" i="36"/>
  <c r="C11" i="36"/>
  <c r="H10" i="36"/>
  <c r="G10" i="36"/>
  <c r="E10" i="36"/>
  <c r="D10" i="36"/>
  <c r="C10" i="36"/>
  <c r="B10" i="36"/>
  <c r="H9" i="36"/>
  <c r="G9" i="36"/>
  <c r="E9" i="36"/>
  <c r="D9" i="36"/>
  <c r="C9" i="36"/>
  <c r="B9" i="36"/>
  <c r="F70" i="38"/>
  <c r="G70" i="38"/>
  <c r="H70" i="38"/>
  <c r="I70" i="38"/>
  <c r="F71" i="38"/>
  <c r="G71" i="38"/>
  <c r="H71" i="38"/>
  <c r="I71" i="38"/>
  <c r="F72" i="38"/>
  <c r="G72" i="38"/>
  <c r="H72" i="38"/>
  <c r="I72" i="38"/>
  <c r="F73" i="38"/>
  <c r="G73" i="38"/>
  <c r="H73" i="38"/>
  <c r="I73" i="38"/>
  <c r="F74" i="38"/>
  <c r="G74" i="38"/>
  <c r="H74" i="38"/>
  <c r="I74" i="38"/>
  <c r="F75" i="38"/>
  <c r="G75" i="38"/>
  <c r="H75" i="38"/>
  <c r="I75" i="38"/>
  <c r="F76" i="38"/>
  <c r="G76" i="38"/>
  <c r="H76" i="38"/>
  <c r="I76" i="38"/>
  <c r="F77" i="38"/>
  <c r="G77" i="38"/>
  <c r="H77" i="38"/>
  <c r="I77" i="38"/>
  <c r="F78" i="38"/>
  <c r="G78" i="38"/>
  <c r="H78" i="38"/>
  <c r="I78" i="38"/>
  <c r="F79" i="38"/>
  <c r="G79" i="38"/>
  <c r="H79" i="38"/>
  <c r="I79" i="38"/>
  <c r="F80" i="38"/>
  <c r="G80" i="38"/>
  <c r="H80" i="38"/>
  <c r="I80" i="38"/>
  <c r="F81" i="38"/>
  <c r="G81" i="38"/>
  <c r="H81" i="38"/>
  <c r="I81" i="38"/>
  <c r="F82" i="38"/>
  <c r="G82" i="38"/>
  <c r="H82" i="38"/>
  <c r="I82" i="38"/>
  <c r="F83" i="38"/>
  <c r="G83" i="38"/>
  <c r="H83" i="38"/>
  <c r="I83" i="38"/>
  <c r="F84" i="38"/>
  <c r="G84" i="38"/>
  <c r="H84" i="38"/>
  <c r="I84" i="38"/>
  <c r="F85" i="38"/>
  <c r="G85" i="38"/>
  <c r="H85" i="38"/>
  <c r="I85" i="38"/>
  <c r="F86" i="38"/>
  <c r="G86" i="38"/>
  <c r="H86" i="38"/>
  <c r="I86" i="38"/>
  <c r="F87" i="38"/>
  <c r="G87" i="38"/>
  <c r="H87" i="38"/>
  <c r="I87" i="38"/>
  <c r="F88" i="38"/>
  <c r="G88" i="38"/>
  <c r="H88" i="38"/>
  <c r="I88" i="38"/>
  <c r="F89" i="38"/>
  <c r="G89" i="38"/>
  <c r="H89" i="38"/>
  <c r="I89" i="38"/>
  <c r="F90" i="38"/>
  <c r="G90" i="38"/>
  <c r="H90" i="38"/>
  <c r="I90" i="38"/>
  <c r="F91" i="38"/>
  <c r="G91" i="38"/>
  <c r="H91" i="38"/>
  <c r="I91" i="38"/>
  <c r="F92" i="38"/>
  <c r="G92" i="38"/>
  <c r="H92" i="38"/>
  <c r="I92" i="38"/>
  <c r="F93" i="38"/>
  <c r="G93" i="38"/>
  <c r="H93" i="38"/>
  <c r="I93" i="38"/>
  <c r="F94" i="38"/>
  <c r="G94" i="38"/>
  <c r="H94" i="38"/>
  <c r="I94" i="38"/>
  <c r="F95" i="38"/>
  <c r="G95" i="38"/>
  <c r="H95" i="38"/>
  <c r="I95" i="38"/>
  <c r="F96" i="38"/>
  <c r="G96" i="38"/>
  <c r="H96" i="38"/>
  <c r="I96" i="38"/>
  <c r="I69" i="38"/>
  <c r="H69" i="38"/>
  <c r="G69" i="38"/>
  <c r="F69" i="38"/>
  <c r="I68" i="38"/>
  <c r="H68" i="38"/>
  <c r="G68" i="38"/>
  <c r="F68" i="38"/>
  <c r="I67" i="38"/>
  <c r="H67" i="38"/>
  <c r="G67" i="38"/>
  <c r="F67" i="38"/>
  <c r="I66" i="38"/>
  <c r="H66" i="38"/>
  <c r="G66" i="38"/>
  <c r="F66" i="38"/>
  <c r="I65" i="38"/>
  <c r="H65" i="38"/>
  <c r="G65" i="38"/>
  <c r="F65" i="38"/>
  <c r="I64" i="38"/>
  <c r="H64" i="38"/>
  <c r="G64" i="38"/>
  <c r="F64" i="38"/>
  <c r="I63" i="38"/>
  <c r="H63" i="38"/>
  <c r="G63" i="38"/>
  <c r="F63" i="38"/>
  <c r="I62" i="38"/>
  <c r="H62" i="38"/>
  <c r="G62" i="38"/>
  <c r="F62" i="38"/>
  <c r="I61" i="38"/>
  <c r="H61" i="38"/>
  <c r="G61" i="38"/>
  <c r="F61" i="38"/>
  <c r="I60" i="38"/>
  <c r="H60" i="38"/>
  <c r="G60" i="38"/>
  <c r="F60" i="38"/>
  <c r="I59" i="38"/>
  <c r="H59" i="38"/>
  <c r="G59" i="38"/>
  <c r="F59" i="38"/>
  <c r="I58" i="38"/>
  <c r="H58" i="38"/>
  <c r="G58" i="38"/>
  <c r="F58" i="38"/>
  <c r="I57" i="38"/>
  <c r="H57" i="38"/>
  <c r="G57" i="38"/>
  <c r="F57" i="38"/>
  <c r="I56" i="38"/>
  <c r="H56" i="38"/>
  <c r="G56" i="38"/>
  <c r="F56" i="38"/>
  <c r="I55" i="38"/>
  <c r="H55" i="38"/>
  <c r="G55" i="38"/>
  <c r="F55" i="38"/>
  <c r="I54" i="38"/>
  <c r="H54" i="38"/>
  <c r="G54" i="38"/>
  <c r="F54" i="38"/>
  <c r="I53" i="38"/>
  <c r="H53" i="38"/>
  <c r="G53" i="38"/>
  <c r="F53" i="38"/>
  <c r="I52" i="38"/>
  <c r="H52" i="38"/>
  <c r="G52" i="38"/>
  <c r="F52" i="38"/>
  <c r="I51" i="38"/>
  <c r="H51" i="38"/>
  <c r="G51" i="38"/>
  <c r="F51" i="38"/>
  <c r="I50" i="38"/>
  <c r="H50" i="38"/>
  <c r="G50" i="38"/>
  <c r="F50" i="38"/>
  <c r="I49" i="38"/>
  <c r="H49" i="38"/>
  <c r="G49" i="38"/>
  <c r="F49" i="38"/>
  <c r="I48" i="38"/>
  <c r="H48" i="38"/>
  <c r="G48" i="38"/>
  <c r="F48" i="38"/>
  <c r="I47" i="38"/>
  <c r="H47" i="38"/>
  <c r="G47" i="38"/>
  <c r="F47" i="38"/>
  <c r="I46" i="38"/>
  <c r="H46" i="38"/>
  <c r="G46" i="38"/>
  <c r="F46" i="38"/>
  <c r="I45" i="38"/>
  <c r="H45" i="38"/>
  <c r="G45" i="38"/>
  <c r="F45" i="38"/>
  <c r="I44" i="38"/>
  <c r="H44" i="38"/>
  <c r="G44" i="38"/>
  <c r="F44" i="38"/>
  <c r="I43" i="38"/>
  <c r="H43" i="38"/>
  <c r="G43" i="38"/>
  <c r="F43" i="38"/>
  <c r="D18" i="38"/>
  <c r="D17" i="38"/>
  <c r="D16" i="38"/>
  <c r="D15" i="38"/>
  <c r="D13" i="38"/>
  <c r="D12" i="38"/>
  <c r="D11" i="38"/>
  <c r="D10" i="38"/>
  <c r="C10" i="38"/>
  <c r="D7" i="38"/>
  <c r="C7" i="38"/>
  <c r="D9" i="38"/>
  <c r="C9" i="38"/>
  <c r="D8" i="38"/>
  <c r="C8" i="38"/>
  <c r="AU46" i="36" l="1"/>
  <c r="AL67" i="36"/>
  <c r="AR34" i="36"/>
  <c r="W39" i="36"/>
  <c r="D40" i="36"/>
  <c r="AL46" i="36"/>
  <c r="F56" i="36"/>
  <c r="AF60" i="36"/>
  <c r="X61" i="36"/>
  <c r="AC67" i="36"/>
  <c r="C18" i="36"/>
  <c r="E18" i="36"/>
  <c r="AF39" i="36"/>
  <c r="AF35" i="36" s="1"/>
  <c r="S46" i="36"/>
  <c r="AG61" i="36"/>
  <c r="I67" i="36"/>
  <c r="B18" i="36"/>
  <c r="D18" i="36"/>
  <c r="I22" i="36"/>
  <c r="J22" i="36" s="1"/>
  <c r="N40" i="36"/>
  <c r="I46" i="36"/>
  <c r="F55" i="36"/>
  <c r="G18" i="36"/>
  <c r="P34" i="36"/>
  <c r="AO39" i="36"/>
  <c r="W34" i="36"/>
  <c r="Z55" i="36"/>
  <c r="AN37" i="36"/>
  <c r="H18" i="36"/>
  <c r="Z34" i="36"/>
  <c r="AR37" i="36"/>
  <c r="M39" i="36"/>
  <c r="M38" i="36" s="1"/>
  <c r="X40" i="36"/>
  <c r="AU67" i="36"/>
  <c r="Y57" i="36"/>
  <c r="P56" i="36"/>
  <c r="AB56" i="36"/>
  <c r="AP58" i="36"/>
  <c r="G33" i="36"/>
  <c r="AR56" i="36"/>
  <c r="N57" i="36"/>
  <c r="AF33" i="36"/>
  <c r="V60" i="36"/>
  <c r="O39" i="36"/>
  <c r="G41" i="36"/>
  <c r="G36" i="36" s="1"/>
  <c r="P61" i="36"/>
  <c r="N34" i="36"/>
  <c r="AQ40" i="36"/>
  <c r="E36" i="36"/>
  <c r="AK59" i="36"/>
  <c r="AP38" i="36"/>
  <c r="F40" i="36"/>
  <c r="AF37" i="36"/>
  <c r="AR60" i="36"/>
  <c r="Y34" i="36"/>
  <c r="AP59" i="36"/>
  <c r="AI61" i="36"/>
  <c r="P36" i="36"/>
  <c r="X38" i="36"/>
  <c r="B39" i="36"/>
  <c r="V39" i="36"/>
  <c r="Z40" i="36"/>
  <c r="AO40" i="36"/>
  <c r="AO35" i="36" s="1"/>
  <c r="Q41" i="36"/>
  <c r="Q37" i="36" s="1"/>
  <c r="Z56" i="36"/>
  <c r="AI57" i="36"/>
  <c r="X60" i="36"/>
  <c r="R38" i="36"/>
  <c r="G37" i="36"/>
  <c r="Q62" i="36"/>
  <c r="F60" i="36"/>
  <c r="F35" i="36"/>
  <c r="G35" i="36"/>
  <c r="R37" i="36"/>
  <c r="AT37" i="36"/>
  <c r="M40" i="36"/>
  <c r="AA40" i="36"/>
  <c r="H58" i="36"/>
  <c r="X59" i="36"/>
  <c r="B60" i="36"/>
  <c r="B54" i="36" s="1"/>
  <c r="AA60" i="36"/>
  <c r="W61" i="36"/>
  <c r="W58" i="36" s="1"/>
  <c r="AO61" i="36"/>
  <c r="AO55" i="36" s="1"/>
  <c r="AA62" i="36"/>
  <c r="AP60" i="36"/>
  <c r="E61" i="36"/>
  <c r="AK61" i="36"/>
  <c r="N59" i="36"/>
  <c r="AT61" i="36"/>
  <c r="AH59" i="36"/>
  <c r="AI35" i="36"/>
  <c r="AB33" i="36"/>
  <c r="AF34" i="36"/>
  <c r="H35" i="36"/>
  <c r="AP35" i="36"/>
  <c r="X37" i="36"/>
  <c r="D38" i="36"/>
  <c r="D39" i="36"/>
  <c r="Z39" i="36"/>
  <c r="AT39" i="36"/>
  <c r="AA41" i="36"/>
  <c r="AA33" i="36" s="1"/>
  <c r="AG55" i="36"/>
  <c r="AB58" i="36"/>
  <c r="Z59" i="36"/>
  <c r="F61" i="36"/>
  <c r="O61" i="36"/>
  <c r="AR57" i="36"/>
  <c r="AG38" i="36"/>
  <c r="P40" i="36"/>
  <c r="AR40" i="36"/>
  <c r="D54" i="36"/>
  <c r="Z61" i="36"/>
  <c r="AR61" i="36"/>
  <c r="AJ62" i="36"/>
  <c r="AO34" i="36"/>
  <c r="AK36" i="36"/>
  <c r="AB37" i="36"/>
  <c r="G38" i="36"/>
  <c r="L39" i="36"/>
  <c r="AE39" i="36"/>
  <c r="C40" i="36"/>
  <c r="C37" i="36" s="1"/>
  <c r="Q40" i="36"/>
  <c r="Q35" i="36" s="1"/>
  <c r="AS40" i="36"/>
  <c r="AJ41" i="36"/>
  <c r="AJ33" i="36" s="1"/>
  <c r="AT54" i="36"/>
  <c r="AQ55" i="36"/>
  <c r="D59" i="36"/>
  <c r="AG59" i="36"/>
  <c r="AJ60" i="36"/>
  <c r="AJ58" i="36" s="1"/>
  <c r="AA61" i="36"/>
  <c r="AS41" i="36"/>
  <c r="G34" i="36"/>
  <c r="AF36" i="36"/>
  <c r="AF38" i="36"/>
  <c r="G61" i="36"/>
  <c r="G58" i="36" s="1"/>
  <c r="AP57" i="36"/>
  <c r="AN33" i="36"/>
  <c r="Z35" i="36"/>
  <c r="AO36" i="36"/>
  <c r="AN35" i="36"/>
  <c r="O54" i="36"/>
  <c r="E59" i="36"/>
  <c r="G62" i="36"/>
  <c r="C59" i="36"/>
  <c r="C56" i="36"/>
  <c r="C58" i="36"/>
  <c r="C55" i="36"/>
  <c r="C57" i="36"/>
  <c r="C54" i="36"/>
  <c r="J18" i="36"/>
  <c r="E33" i="36"/>
  <c r="AK33" i="36"/>
  <c r="X34" i="36"/>
  <c r="AH34" i="36"/>
  <c r="R35" i="36"/>
  <c r="D36" i="36"/>
  <c r="O36" i="36"/>
  <c r="Z36" i="36"/>
  <c r="AT36" i="36"/>
  <c r="W37" i="36"/>
  <c r="AG37" i="36"/>
  <c r="AQ37" i="36"/>
  <c r="AB38" i="36"/>
  <c r="AN38" i="36"/>
  <c r="N39" i="36"/>
  <c r="Y39" i="36"/>
  <c r="AI39" i="36"/>
  <c r="H40" i="36"/>
  <c r="L41" i="36"/>
  <c r="N54" i="36"/>
  <c r="Y54" i="36"/>
  <c r="H55" i="36"/>
  <c r="AP55" i="36"/>
  <c r="E56" i="36"/>
  <c r="AK56" i="36"/>
  <c r="B57" i="36"/>
  <c r="X57" i="36"/>
  <c r="AH57" i="36"/>
  <c r="R58" i="36"/>
  <c r="AO58" i="36"/>
  <c r="O59" i="36"/>
  <c r="AT59" i="36"/>
  <c r="L60" i="36"/>
  <c r="AG60" i="36"/>
  <c r="AQ60" i="36"/>
  <c r="Q61" i="36"/>
  <c r="AB61" i="36"/>
  <c r="AE62" i="36"/>
  <c r="AE54" i="36" s="1"/>
  <c r="R33" i="36"/>
  <c r="D34" i="36"/>
  <c r="O34" i="36"/>
  <c r="AT34" i="36"/>
  <c r="W35" i="36"/>
  <c r="AG35" i="36"/>
  <c r="AQ35" i="36"/>
  <c r="F36" i="36"/>
  <c r="AB36" i="36"/>
  <c r="AN36" i="36"/>
  <c r="N37" i="36"/>
  <c r="Y37" i="36"/>
  <c r="AI37" i="36"/>
  <c r="AS37" i="36"/>
  <c r="H38" i="36"/>
  <c r="E39" i="36"/>
  <c r="P39" i="36"/>
  <c r="AK39" i="36"/>
  <c r="AH40" i="36"/>
  <c r="E54" i="36"/>
  <c r="AK54" i="36"/>
  <c r="B55" i="36"/>
  <c r="X55" i="36"/>
  <c r="AH55" i="36"/>
  <c r="R56" i="36"/>
  <c r="AO56" i="36"/>
  <c r="D57" i="36"/>
  <c r="O57" i="36"/>
  <c r="Z57" i="36"/>
  <c r="AT57" i="36"/>
  <c r="AG58" i="36"/>
  <c r="AQ58" i="36"/>
  <c r="AB59" i="36"/>
  <c r="N60" i="36"/>
  <c r="Y60" i="36"/>
  <c r="AI60" i="36"/>
  <c r="H61" i="36"/>
  <c r="AF61" i="36"/>
  <c r="L62" i="36"/>
  <c r="H33" i="36"/>
  <c r="AP33" i="36"/>
  <c r="E34" i="36"/>
  <c r="AK34" i="36"/>
  <c r="X35" i="36"/>
  <c r="AH35" i="36"/>
  <c r="R36" i="36"/>
  <c r="D37" i="36"/>
  <c r="O37" i="36"/>
  <c r="Z37" i="36"/>
  <c r="W38" i="36"/>
  <c r="AQ38" i="36"/>
  <c r="F39" i="36"/>
  <c r="AB39" i="36"/>
  <c r="Y40" i="36"/>
  <c r="V41" i="36"/>
  <c r="AB54" i="36"/>
  <c r="N55" i="36"/>
  <c r="Y55" i="36"/>
  <c r="H56" i="36"/>
  <c r="AP56" i="36"/>
  <c r="E57" i="36"/>
  <c r="P57" i="36"/>
  <c r="AK57" i="36"/>
  <c r="B58" i="36"/>
  <c r="X58" i="36"/>
  <c r="AH58" i="36"/>
  <c r="AR58" i="36"/>
  <c r="R59" i="36"/>
  <c r="AO59" i="36"/>
  <c r="D60" i="36"/>
  <c r="O60" i="36"/>
  <c r="Z60" i="36"/>
  <c r="AT60" i="36"/>
  <c r="AQ61" i="36"/>
  <c r="AN62" i="36"/>
  <c r="W33" i="36"/>
  <c r="AG33" i="36"/>
  <c r="AQ33" i="36"/>
  <c r="AB34" i="36"/>
  <c r="AN34" i="36"/>
  <c r="N35" i="36"/>
  <c r="Y35" i="36"/>
  <c r="H36" i="36"/>
  <c r="AP36" i="36"/>
  <c r="E37" i="36"/>
  <c r="P37" i="36"/>
  <c r="AH38" i="36"/>
  <c r="R39" i="36"/>
  <c r="O40" i="36"/>
  <c r="AT40" i="36"/>
  <c r="R54" i="36"/>
  <c r="AO54" i="36"/>
  <c r="D55" i="36"/>
  <c r="O55" i="36"/>
  <c r="AT55" i="36"/>
  <c r="AG56" i="36"/>
  <c r="AQ56" i="36"/>
  <c r="F57" i="36"/>
  <c r="AB57" i="36"/>
  <c r="N58" i="36"/>
  <c r="Y58" i="36"/>
  <c r="AI58" i="36"/>
  <c r="H59" i="36"/>
  <c r="E60" i="36"/>
  <c r="P60" i="36"/>
  <c r="AK60" i="36"/>
  <c r="M61" i="36"/>
  <c r="M57" i="36" s="1"/>
  <c r="AH61" i="36"/>
  <c r="X33" i="36"/>
  <c r="AH33" i="36"/>
  <c r="R34" i="36"/>
  <c r="D35" i="36"/>
  <c r="O35" i="36"/>
  <c r="AT35" i="36"/>
  <c r="W36" i="36"/>
  <c r="AG36" i="36"/>
  <c r="AQ36" i="36"/>
  <c r="F37" i="36"/>
  <c r="Y38" i="36"/>
  <c r="H39" i="36"/>
  <c r="AP39" i="36"/>
  <c r="E40" i="36"/>
  <c r="AK40" i="36"/>
  <c r="B41" i="36"/>
  <c r="H54" i="36"/>
  <c r="AP54" i="36"/>
  <c r="E55" i="36"/>
  <c r="AK55" i="36"/>
  <c r="B56" i="36"/>
  <c r="M56" i="36"/>
  <c r="X56" i="36"/>
  <c r="AH56" i="36"/>
  <c r="R57" i="36"/>
  <c r="AO57" i="36"/>
  <c r="D58" i="36"/>
  <c r="O58" i="36"/>
  <c r="Z58" i="36"/>
  <c r="AT58" i="36"/>
  <c r="AQ59" i="36"/>
  <c r="AB60" i="36"/>
  <c r="AN60" i="36"/>
  <c r="Y61" i="36"/>
  <c r="AS61" i="36"/>
  <c r="V62" i="36"/>
  <c r="V57" i="36" s="1"/>
  <c r="N33" i="36"/>
  <c r="Y33" i="36"/>
  <c r="H34" i="36"/>
  <c r="AP34" i="36"/>
  <c r="E35" i="36"/>
  <c r="AK35" i="36"/>
  <c r="X36" i="36"/>
  <c r="AH36" i="36"/>
  <c r="AR36" i="36"/>
  <c r="O38" i="36"/>
  <c r="AJ38" i="36"/>
  <c r="AT38" i="36"/>
  <c r="AG39" i="36"/>
  <c r="AQ39" i="36"/>
  <c r="AB40" i="36"/>
  <c r="AE41" i="36"/>
  <c r="AG54" i="36"/>
  <c r="AQ54" i="36"/>
  <c r="AB55" i="36"/>
  <c r="N56" i="36"/>
  <c r="Y56" i="36"/>
  <c r="H57" i="36"/>
  <c r="E58" i="36"/>
  <c r="P58" i="36"/>
  <c r="B59" i="36"/>
  <c r="M59" i="36"/>
  <c r="R60" i="36"/>
  <c r="D33" i="36"/>
  <c r="O33" i="36"/>
  <c r="AT33" i="36"/>
  <c r="AG34" i="36"/>
  <c r="AQ34" i="36"/>
  <c r="AB35" i="36"/>
  <c r="N36" i="36"/>
  <c r="Y36" i="36"/>
  <c r="AI36" i="36"/>
  <c r="AP37" i="36"/>
  <c r="E38" i="36"/>
  <c r="AK38" i="36"/>
  <c r="X39" i="36"/>
  <c r="AH39" i="36"/>
  <c r="AR39" i="36"/>
  <c r="R40" i="36"/>
  <c r="X54" i="36"/>
  <c r="AH54" i="36"/>
  <c r="R55" i="36"/>
  <c r="D56" i="36"/>
  <c r="O56" i="36"/>
  <c r="AT56" i="36"/>
  <c r="AG57" i="36"/>
  <c r="AQ57" i="36"/>
  <c r="Y59" i="36"/>
  <c r="H60" i="36"/>
  <c r="AJ35" i="36" l="1"/>
  <c r="F63" i="36"/>
  <c r="Q38" i="36"/>
  <c r="M36" i="36"/>
  <c r="AJ37" i="36"/>
  <c r="AJ34" i="36"/>
  <c r="AJ42" i="36" s="1"/>
  <c r="M37" i="36"/>
  <c r="M35" i="36"/>
  <c r="M34" i="36"/>
  <c r="AA56" i="36"/>
  <c r="AF42" i="36"/>
  <c r="L35" i="36"/>
  <c r="L33" i="36"/>
  <c r="G59" i="36"/>
  <c r="AI63" i="36"/>
  <c r="P42" i="36"/>
  <c r="L34" i="36"/>
  <c r="W56" i="36"/>
  <c r="B38" i="36"/>
  <c r="L38" i="36"/>
  <c r="AJ36" i="36"/>
  <c r="Q36" i="36"/>
  <c r="AE55" i="36"/>
  <c r="G57" i="36"/>
  <c r="G42" i="36"/>
  <c r="AT63" i="36"/>
  <c r="AJ55" i="36"/>
  <c r="B36" i="36"/>
  <c r="AA37" i="36"/>
  <c r="AA35" i="36"/>
  <c r="AR42" i="36"/>
  <c r="L36" i="36"/>
  <c r="O63" i="36"/>
  <c r="AR63" i="36"/>
  <c r="G56" i="36"/>
  <c r="AB42" i="36"/>
  <c r="Z42" i="36"/>
  <c r="G55" i="36"/>
  <c r="AE37" i="36"/>
  <c r="D63" i="36"/>
  <c r="AN42" i="36"/>
  <c r="AJ54" i="36"/>
  <c r="AO37" i="36"/>
  <c r="AO33" i="36"/>
  <c r="AJ56" i="36"/>
  <c r="AJ63" i="36" s="1"/>
  <c r="AA36" i="36"/>
  <c r="W59" i="36"/>
  <c r="W55" i="36"/>
  <c r="W54" i="36"/>
  <c r="AA38" i="36"/>
  <c r="AJ57" i="36"/>
  <c r="F42" i="36"/>
  <c r="AT42" i="36"/>
  <c r="Z63" i="36"/>
  <c r="B63" i="36"/>
  <c r="AJ59" i="36"/>
  <c r="M54" i="36"/>
  <c r="M33" i="36"/>
  <c r="AA59" i="36"/>
  <c r="AA55" i="36"/>
  <c r="AA54" i="36"/>
  <c r="AA57" i="36"/>
  <c r="G54" i="36"/>
  <c r="AE56" i="36"/>
  <c r="AS38" i="36"/>
  <c r="AS35" i="36"/>
  <c r="AS36" i="36"/>
  <c r="AS34" i="36"/>
  <c r="AS33" i="36"/>
  <c r="B37" i="36"/>
  <c r="W57" i="36"/>
  <c r="C38" i="36"/>
  <c r="C36" i="36"/>
  <c r="C33" i="36"/>
  <c r="C35" i="36"/>
  <c r="C34" i="36"/>
  <c r="AI42" i="36"/>
  <c r="L37" i="36"/>
  <c r="C63" i="36"/>
  <c r="AE57" i="36"/>
  <c r="AA58" i="36"/>
  <c r="Q33" i="36"/>
  <c r="Q34" i="36"/>
  <c r="AA34" i="36"/>
  <c r="AA42" i="36" s="1"/>
  <c r="AO38" i="36"/>
  <c r="AF54" i="36"/>
  <c r="AF56" i="36"/>
  <c r="AF58" i="36"/>
  <c r="O42" i="36"/>
  <c r="AF55" i="36"/>
  <c r="X63" i="36"/>
  <c r="D42" i="36"/>
  <c r="H63" i="36"/>
  <c r="AF59" i="36"/>
  <c r="R63" i="36"/>
  <c r="AQ42" i="36"/>
  <c r="M58" i="36"/>
  <c r="L57" i="36"/>
  <c r="L54" i="36"/>
  <c r="L55" i="36"/>
  <c r="L59" i="36"/>
  <c r="L56" i="36"/>
  <c r="L58" i="36"/>
  <c r="V55" i="36"/>
  <c r="AH63" i="36"/>
  <c r="AN58" i="36"/>
  <c r="AN55" i="36"/>
  <c r="AN56" i="36"/>
  <c r="AN57" i="36"/>
  <c r="AN54" i="36"/>
  <c r="AN59" i="36"/>
  <c r="AP63" i="36"/>
  <c r="AO63" i="36"/>
  <c r="B33" i="36"/>
  <c r="B35" i="36"/>
  <c r="B34" i="36"/>
  <c r="AH42" i="36"/>
  <c r="V59" i="36"/>
  <c r="AG42" i="36"/>
  <c r="AB63" i="36"/>
  <c r="M55" i="36"/>
  <c r="AK42" i="36"/>
  <c r="AE58" i="36"/>
  <c r="Y42" i="36"/>
  <c r="N42" i="36"/>
  <c r="P63" i="36"/>
  <c r="AP42" i="36"/>
  <c r="AK63" i="36"/>
  <c r="N63" i="36"/>
  <c r="AE59" i="36"/>
  <c r="AS59" i="36"/>
  <c r="AS56" i="36"/>
  <c r="AS58" i="36"/>
  <c r="AS55" i="36"/>
  <c r="AS54" i="36"/>
  <c r="AS57" i="36"/>
  <c r="AQ63" i="36"/>
  <c r="X42" i="36"/>
  <c r="W42" i="36"/>
  <c r="V37" i="36"/>
  <c r="V34" i="36"/>
  <c r="V36" i="36"/>
  <c r="V33" i="36"/>
  <c r="V38" i="36"/>
  <c r="V35" i="36"/>
  <c r="R42" i="36"/>
  <c r="Y63" i="36"/>
  <c r="E42" i="36"/>
  <c r="AG63" i="36"/>
  <c r="AE34" i="36"/>
  <c r="AE38" i="36"/>
  <c r="AE36" i="36"/>
  <c r="AE33" i="36"/>
  <c r="AE35" i="36"/>
  <c r="V54" i="36"/>
  <c r="V56" i="36"/>
  <c r="V58" i="36"/>
  <c r="H42" i="36"/>
  <c r="E63" i="36"/>
  <c r="AF57" i="36"/>
  <c r="Q58" i="36"/>
  <c r="Q55" i="36"/>
  <c r="Q57" i="36"/>
  <c r="Q54" i="36"/>
  <c r="Q59" i="36"/>
  <c r="Q56" i="36"/>
  <c r="Y49" i="35"/>
  <c r="W49" i="35"/>
  <c r="S49" i="35"/>
  <c r="H49" i="35"/>
  <c r="X152" i="18"/>
  <c r="W152" i="18"/>
  <c r="V152" i="18"/>
  <c r="U152" i="18"/>
  <c r="T152" i="18"/>
  <c r="S152" i="18"/>
  <c r="R152" i="18"/>
  <c r="X151" i="18"/>
  <c r="W151" i="18"/>
  <c r="V151" i="18"/>
  <c r="U151" i="18"/>
  <c r="T151" i="18"/>
  <c r="S151" i="18"/>
  <c r="R151" i="18"/>
  <c r="X150" i="18"/>
  <c r="W150" i="18"/>
  <c r="V150" i="18"/>
  <c r="U150" i="18"/>
  <c r="T150" i="18"/>
  <c r="S150" i="18"/>
  <c r="R150" i="18"/>
  <c r="X149" i="18"/>
  <c r="W149" i="18"/>
  <c r="V149" i="18"/>
  <c r="U149" i="18"/>
  <c r="T149" i="18"/>
  <c r="S149" i="18"/>
  <c r="R149" i="18"/>
  <c r="X148" i="18"/>
  <c r="W148" i="18"/>
  <c r="V148" i="18"/>
  <c r="U148" i="18"/>
  <c r="T148" i="18"/>
  <c r="S148" i="18"/>
  <c r="R148" i="18"/>
  <c r="S144" i="18"/>
  <c r="D152" i="18"/>
  <c r="D151" i="18"/>
  <c r="D150" i="18"/>
  <c r="D149" i="18"/>
  <c r="D148" i="18"/>
  <c r="G144" i="18"/>
  <c r="D144" i="18"/>
  <c r="G63" i="36" l="1"/>
  <c r="BM49" i="35"/>
  <c r="J86" i="38"/>
  <c r="C42" i="36"/>
  <c r="M42" i="36"/>
  <c r="AO42" i="36"/>
  <c r="L42" i="36"/>
  <c r="M63" i="36"/>
  <c r="W63" i="36"/>
  <c r="AE63" i="36"/>
  <c r="AA63" i="36"/>
  <c r="B42" i="36"/>
  <c r="Q42" i="36"/>
  <c r="V42" i="36"/>
  <c r="AS63" i="36"/>
  <c r="L63" i="36"/>
  <c r="AS42" i="36"/>
  <c r="Q63" i="36"/>
  <c r="V63" i="36"/>
  <c r="AN63" i="36"/>
  <c r="AE42" i="36"/>
  <c r="AF63" i="36"/>
  <c r="BO49" i="35"/>
  <c r="BN49" i="35"/>
  <c r="BI49" i="35"/>
  <c r="BY49" i="35"/>
  <c r="BJ49" i="35"/>
  <c r="BK49" i="35"/>
  <c r="BL49" i="35"/>
  <c r="X54" i="16" l="1"/>
  <c r="W54" i="16"/>
  <c r="V54" i="16"/>
  <c r="U54" i="16"/>
  <c r="T54" i="16"/>
  <c r="S54" i="16"/>
  <c r="R54" i="16"/>
  <c r="X53" i="16"/>
  <c r="W53" i="16"/>
  <c r="V53" i="16"/>
  <c r="U53" i="16"/>
  <c r="T53" i="16"/>
  <c r="S53" i="16"/>
  <c r="R53" i="16"/>
  <c r="X52" i="16"/>
  <c r="W52" i="16"/>
  <c r="V52" i="16"/>
  <c r="U52" i="16"/>
  <c r="T52" i="16"/>
  <c r="S52" i="16"/>
  <c r="R52" i="16"/>
  <c r="X51" i="16"/>
  <c r="W51" i="16"/>
  <c r="V51" i="16"/>
  <c r="U51" i="16"/>
  <c r="T51" i="16"/>
  <c r="S51" i="16"/>
  <c r="R51" i="16"/>
  <c r="X50" i="16"/>
  <c r="W50" i="16"/>
  <c r="V50" i="16"/>
  <c r="U50" i="16"/>
  <c r="T50" i="16"/>
  <c r="S50" i="16"/>
  <c r="R50" i="16"/>
  <c r="S46" i="16"/>
  <c r="Y44" i="35"/>
  <c r="BY44" i="35" s="1"/>
  <c r="W44" i="35"/>
  <c r="S44" i="35"/>
  <c r="H44" i="35"/>
  <c r="D54" i="16"/>
  <c r="D53" i="16"/>
  <c r="D52" i="16"/>
  <c r="D51" i="16"/>
  <c r="D50" i="16"/>
  <c r="G46" i="16"/>
  <c r="D46" i="16"/>
  <c r="BO44" i="35" l="1"/>
  <c r="J81" i="38"/>
  <c r="BL44" i="35"/>
  <c r="BI44" i="35"/>
  <c r="BJ44" i="35"/>
  <c r="BK44" i="35"/>
  <c r="BM44" i="35"/>
  <c r="BN44" i="35"/>
  <c r="B86" i="31" l="1"/>
  <c r="B87" i="31" s="1"/>
  <c r="B88" i="31" s="1"/>
  <c r="B89" i="31" s="1"/>
  <c r="B90" i="31" s="1"/>
  <c r="G21" i="30"/>
  <c r="O44" i="35"/>
  <c r="T44" i="35" l="1"/>
  <c r="X44" i="35" s="1"/>
  <c r="U44" i="35"/>
  <c r="I44" i="35"/>
  <c r="V44" i="35"/>
  <c r="B91" i="31"/>
  <c r="D14" i="38"/>
  <c r="V53" i="35"/>
  <c r="V54" i="35"/>
  <c r="V55" i="35"/>
  <c r="V56" i="35"/>
  <c r="V57" i="35"/>
  <c r="V58" i="35"/>
  <c r="V59" i="35"/>
  <c r="BZ44" i="35"/>
  <c r="Z44" i="35"/>
  <c r="O49" i="35"/>
  <c r="AH44" i="35"/>
  <c r="U49" i="35" l="1"/>
  <c r="T49" i="35"/>
  <c r="X49" i="35" s="1"/>
  <c r="V49" i="35"/>
  <c r="I49" i="35"/>
  <c r="AA49" i="35"/>
  <c r="CA49" i="35"/>
  <c r="AI49" i="35"/>
  <c r="B92" i="31"/>
  <c r="R9" i="20"/>
  <c r="AI44" i="35"/>
  <c r="AA44" i="35"/>
  <c r="CA44" i="35"/>
  <c r="Z49" i="35"/>
  <c r="AH49" i="35"/>
  <c r="BZ49" i="35"/>
  <c r="H8" i="35" l="1"/>
  <c r="J45" i="38" s="1"/>
  <c r="H9" i="35"/>
  <c r="J46" i="38" s="1"/>
  <c r="H10" i="35"/>
  <c r="J47" i="38" s="1"/>
  <c r="H11" i="35"/>
  <c r="J48" i="38" s="1"/>
  <c r="H12" i="35"/>
  <c r="J49" i="38" s="1"/>
  <c r="H13" i="35"/>
  <c r="J50" i="38" s="1"/>
  <c r="H14" i="35"/>
  <c r="J51" i="38" s="1"/>
  <c r="H16" i="35"/>
  <c r="J53" i="38" s="1"/>
  <c r="H17" i="35"/>
  <c r="J54" i="38" s="1"/>
  <c r="H15" i="35"/>
  <c r="J52" i="38" s="1"/>
  <c r="H18" i="35"/>
  <c r="J55" i="38" s="1"/>
  <c r="H19" i="35"/>
  <c r="J56" i="38" s="1"/>
  <c r="H20" i="35"/>
  <c r="J57" i="38" s="1"/>
  <c r="H21" i="35"/>
  <c r="J58" i="38" s="1"/>
  <c r="H22" i="35"/>
  <c r="J59" i="38" s="1"/>
  <c r="H23" i="35"/>
  <c r="J60" i="38" s="1"/>
  <c r="H24" i="35"/>
  <c r="J61" i="38" s="1"/>
  <c r="H25" i="35"/>
  <c r="J62" i="38" s="1"/>
  <c r="H26" i="35"/>
  <c r="J63" i="38" s="1"/>
  <c r="H27" i="35"/>
  <c r="J64" i="38" s="1"/>
  <c r="H28" i="35"/>
  <c r="J65" i="38" s="1"/>
  <c r="H29" i="35"/>
  <c r="J66" i="38" s="1"/>
  <c r="H30" i="35"/>
  <c r="J67" i="38" s="1"/>
  <c r="H31" i="35"/>
  <c r="J68" i="38" s="1"/>
  <c r="H32" i="35"/>
  <c r="J69" i="38" s="1"/>
  <c r="H33" i="35"/>
  <c r="J70" i="38" s="1"/>
  <c r="H34" i="35"/>
  <c r="J71" i="38" s="1"/>
  <c r="H35" i="35"/>
  <c r="J72" i="38" s="1"/>
  <c r="H36" i="35"/>
  <c r="J73" i="38" s="1"/>
  <c r="H37" i="35"/>
  <c r="J74" i="38" s="1"/>
  <c r="H38" i="35"/>
  <c r="J75" i="38" s="1"/>
  <c r="H39" i="35"/>
  <c r="J76" i="38" s="1"/>
  <c r="H40" i="35"/>
  <c r="J77" i="38" s="1"/>
  <c r="H41" i="35"/>
  <c r="J78" i="38" s="1"/>
  <c r="H42" i="35"/>
  <c r="J79" i="38" s="1"/>
  <c r="H43" i="35"/>
  <c r="J80" i="38" s="1"/>
  <c r="H45" i="35"/>
  <c r="J82" i="38" s="1"/>
  <c r="H46" i="35"/>
  <c r="J83" i="38" s="1"/>
  <c r="H47" i="35"/>
  <c r="J84" i="38" s="1"/>
  <c r="H48" i="35"/>
  <c r="J85" i="38" s="1"/>
  <c r="H50" i="35"/>
  <c r="J87" i="38" s="1"/>
  <c r="H51" i="35"/>
  <c r="J88" i="38" s="1"/>
  <c r="H52" i="35"/>
  <c r="J89" i="38" s="1"/>
  <c r="H53" i="35"/>
  <c r="J90" i="38" s="1"/>
  <c r="H54" i="35"/>
  <c r="J91" i="38" s="1"/>
  <c r="H55" i="35"/>
  <c r="J92" i="38" s="1"/>
  <c r="H56" i="35"/>
  <c r="J93" i="38" s="1"/>
  <c r="H57" i="35"/>
  <c r="J94" i="38" s="1"/>
  <c r="H58" i="35"/>
  <c r="J95" i="38" s="1"/>
  <c r="H59" i="35"/>
  <c r="J96" i="38" s="1"/>
  <c r="H7" i="35"/>
  <c r="J44" i="38" s="1"/>
  <c r="BJ2" i="35"/>
  <c r="BK2" i="35" s="1"/>
  <c r="BL2" i="35" s="1"/>
  <c r="BM2" i="35" s="1"/>
  <c r="BN2" i="35" s="1"/>
  <c r="BO2" i="35" s="1"/>
  <c r="AB2" i="35"/>
  <c r="H6" i="35"/>
  <c r="J43" i="38" s="1"/>
  <c r="AB49" i="35"/>
  <c r="AB44" i="35"/>
  <c r="AC2" i="35" l="1"/>
  <c r="C30" i="37"/>
  <c r="C28" i="37"/>
  <c r="C29" i="37"/>
  <c r="C31" i="37"/>
  <c r="C32" i="37"/>
  <c r="C33" i="37"/>
  <c r="C34" i="37"/>
  <c r="C35" i="37"/>
  <c r="C36" i="37"/>
  <c r="C19" i="37"/>
  <c r="C18" i="37"/>
  <c r="C17" i="37"/>
  <c r="C16" i="37"/>
  <c r="C15" i="37"/>
  <c r="C14" i="37"/>
  <c r="C13" i="37"/>
  <c r="D25" i="12"/>
  <c r="F104" i="30"/>
  <c r="F96" i="30"/>
  <c r="F90" i="30"/>
  <c r="F81" i="30"/>
  <c r="F73" i="30"/>
  <c r="F65" i="30"/>
  <c r="F56" i="30"/>
  <c r="I43" i="30"/>
  <c r="AC49" i="35"/>
  <c r="AC44" i="35"/>
  <c r="AD2" i="35" l="1"/>
  <c r="G34" i="30"/>
  <c r="AD49" i="35"/>
  <c r="AD44" i="35"/>
  <c r="AE2" i="35" l="1"/>
  <c r="T53" i="35"/>
  <c r="S51" i="35"/>
  <c r="S52" i="35"/>
  <c r="S50" i="35"/>
  <c r="S46" i="35"/>
  <c r="S47" i="35"/>
  <c r="S48" i="35"/>
  <c r="S45" i="35"/>
  <c r="S43" i="35"/>
  <c r="S42" i="35"/>
  <c r="S41" i="35"/>
  <c r="S40" i="35"/>
  <c r="T55" i="35"/>
  <c r="T56" i="35"/>
  <c r="S33" i="35"/>
  <c r="S34" i="35"/>
  <c r="S35" i="35"/>
  <c r="S36" i="35"/>
  <c r="S37" i="35"/>
  <c r="S38" i="35"/>
  <c r="S39" i="35"/>
  <c r="S32" i="35"/>
  <c r="S23" i="35"/>
  <c r="S24" i="35"/>
  <c r="S25" i="35"/>
  <c r="S26" i="35"/>
  <c r="S27" i="35"/>
  <c r="S28" i="35"/>
  <c r="S29" i="35"/>
  <c r="S30" i="35"/>
  <c r="S31" i="35"/>
  <c r="S22" i="35"/>
  <c r="S19" i="35"/>
  <c r="S20" i="35"/>
  <c r="S21" i="35"/>
  <c r="S18" i="35"/>
  <c r="S7" i="35"/>
  <c r="S8" i="35"/>
  <c r="S9" i="35"/>
  <c r="S10" i="35"/>
  <c r="S11" i="35"/>
  <c r="S12" i="35"/>
  <c r="S13" i="35"/>
  <c r="S14" i="35"/>
  <c r="S16" i="35"/>
  <c r="S17" i="35"/>
  <c r="S15" i="35"/>
  <c r="T54" i="35"/>
  <c r="T57" i="35"/>
  <c r="T58" i="35"/>
  <c r="T59" i="35"/>
  <c r="S6" i="35"/>
  <c r="AE49" i="35"/>
  <c r="AE44" i="35"/>
  <c r="AF2" i="35" l="1"/>
  <c r="X153" i="13"/>
  <c r="W153" i="13"/>
  <c r="V153" i="13"/>
  <c r="U153" i="13"/>
  <c r="T153" i="13"/>
  <c r="S153" i="13"/>
  <c r="R153" i="13"/>
  <c r="X152" i="13"/>
  <c r="W152" i="13"/>
  <c r="V152" i="13"/>
  <c r="U152" i="13"/>
  <c r="T152" i="13"/>
  <c r="S152" i="13"/>
  <c r="R152" i="13"/>
  <c r="X151" i="13"/>
  <c r="W151" i="13"/>
  <c r="V151" i="13"/>
  <c r="U151" i="13"/>
  <c r="T151" i="13"/>
  <c r="S151" i="13"/>
  <c r="R151" i="13"/>
  <c r="X150" i="13"/>
  <c r="W150" i="13"/>
  <c r="V150" i="13"/>
  <c r="U150" i="13"/>
  <c r="T150" i="13"/>
  <c r="S150" i="13"/>
  <c r="R150" i="13"/>
  <c r="X149" i="13"/>
  <c r="W149" i="13"/>
  <c r="V149" i="13"/>
  <c r="U149" i="13"/>
  <c r="T149" i="13"/>
  <c r="S149" i="13"/>
  <c r="R149" i="13"/>
  <c r="S145" i="13"/>
  <c r="B80" i="31"/>
  <c r="AS2" i="35" s="1"/>
  <c r="B79" i="31"/>
  <c r="B78" i="31"/>
  <c r="B77" i="31"/>
  <c r="B76" i="31"/>
  <c r="B66" i="31"/>
  <c r="B67" i="31" s="1"/>
  <c r="B68" i="31" s="1"/>
  <c r="B69" i="31" s="1"/>
  <c r="B70" i="31" s="1"/>
  <c r="B71" i="31" s="1"/>
  <c r="B72" i="31" s="1"/>
  <c r="B73" i="31" s="1"/>
  <c r="AR4" i="35"/>
  <c r="D2" i="35"/>
  <c r="AF49" i="35"/>
  <c r="AF44" i="35"/>
  <c r="AR44" i="35" l="1"/>
  <c r="AG2" i="35"/>
  <c r="BP49" i="35"/>
  <c r="AR49" i="35"/>
  <c r="BP6" i="35"/>
  <c r="CP6" i="35" s="1"/>
  <c r="BP44" i="35"/>
  <c r="BP9" i="35"/>
  <c r="CP9" i="35" s="1"/>
  <c r="BP45" i="35"/>
  <c r="CP45" i="35" s="1"/>
  <c r="BP7" i="35"/>
  <c r="CP7" i="35" s="1"/>
  <c r="BP56" i="35"/>
  <c r="CP56" i="35" s="1"/>
  <c r="BP18" i="35"/>
  <c r="CP18" i="35" s="1"/>
  <c r="BP55" i="35"/>
  <c r="CP55" i="35" s="1"/>
  <c r="BP40" i="35"/>
  <c r="CP40" i="35" s="1"/>
  <c r="BP29" i="35"/>
  <c r="CP29" i="35" s="1"/>
  <c r="BP17" i="35"/>
  <c r="CP17" i="35" s="1"/>
  <c r="BP59" i="35"/>
  <c r="CP59" i="35" s="1"/>
  <c r="BP46" i="35"/>
  <c r="CP46" i="35" s="1"/>
  <c r="BP32" i="35"/>
  <c r="CP32" i="35" s="1"/>
  <c r="BP8" i="35"/>
  <c r="CP8" i="35" s="1"/>
  <c r="BP58" i="35"/>
  <c r="CP58" i="35" s="1"/>
  <c r="BP31" i="35"/>
  <c r="CP31" i="35" s="1"/>
  <c r="BP19" i="35"/>
  <c r="CP19" i="35" s="1"/>
  <c r="BP41" i="35"/>
  <c r="CP41" i="35" s="1"/>
  <c r="BP30" i="35"/>
  <c r="CP30" i="35" s="1"/>
  <c r="BP54" i="35"/>
  <c r="CP54" i="35" s="1"/>
  <c r="BP38" i="35"/>
  <c r="CP38" i="35" s="1"/>
  <c r="BP26" i="35"/>
  <c r="CP26" i="35" s="1"/>
  <c r="BP16" i="35"/>
  <c r="CP16" i="35" s="1"/>
  <c r="BP25" i="35"/>
  <c r="CP25" i="35" s="1"/>
  <c r="BP51" i="35"/>
  <c r="CP51" i="35" s="1"/>
  <c r="BP37" i="35"/>
  <c r="CP37" i="35" s="1"/>
  <c r="BP14" i="35"/>
  <c r="CP14" i="35" s="1"/>
  <c r="BP50" i="35"/>
  <c r="CP50" i="35" s="1"/>
  <c r="BP36" i="35"/>
  <c r="CP36" i="35" s="1"/>
  <c r="BP23" i="35"/>
  <c r="CP23" i="35" s="1"/>
  <c r="BP11" i="35"/>
  <c r="CP11" i="35" s="1"/>
  <c r="BP47" i="35"/>
  <c r="CP47" i="35" s="1"/>
  <c r="BP33" i="35"/>
  <c r="CP33" i="35" s="1"/>
  <c r="BP22" i="35"/>
  <c r="CP22" i="35" s="1"/>
  <c r="BP10" i="35"/>
  <c r="CP10" i="35" s="1"/>
  <c r="BP53" i="35"/>
  <c r="CP53" i="35" s="1"/>
  <c r="BP43" i="35"/>
  <c r="CP43" i="35" s="1"/>
  <c r="BP35" i="35"/>
  <c r="CP35" i="35" s="1"/>
  <c r="BP28" i="35"/>
  <c r="CP28" i="35" s="1"/>
  <c r="BP21" i="35"/>
  <c r="CP21" i="35" s="1"/>
  <c r="BP13" i="35"/>
  <c r="CP13" i="35" s="1"/>
  <c r="BP52" i="35"/>
  <c r="CP52" i="35" s="1"/>
  <c r="BP42" i="35"/>
  <c r="CP42" i="35" s="1"/>
  <c r="BP34" i="35"/>
  <c r="CP34" i="35" s="1"/>
  <c r="BP27" i="35"/>
  <c r="CP27" i="35" s="1"/>
  <c r="BP20" i="35"/>
  <c r="CP20" i="35" s="1"/>
  <c r="BP12" i="35"/>
  <c r="CP12" i="35" s="1"/>
  <c r="BP57" i="35"/>
  <c r="CP57" i="35" s="1"/>
  <c r="BP48" i="35"/>
  <c r="CP48" i="35" s="1"/>
  <c r="BP39" i="35"/>
  <c r="CP39" i="35" s="1"/>
  <c r="BP24" i="35"/>
  <c r="CP24" i="35" s="1"/>
  <c r="BP15" i="35"/>
  <c r="CP15" i="35" s="1"/>
  <c r="AG49" i="35"/>
  <c r="AG44" i="35"/>
  <c r="CP49" i="35" l="1"/>
  <c r="CP44" i="35"/>
  <c r="X390" i="24" l="1"/>
  <c r="W390" i="24"/>
  <c r="V390" i="24"/>
  <c r="U390" i="24"/>
  <c r="T390" i="24"/>
  <c r="S390" i="24"/>
  <c r="R390" i="24"/>
  <c r="X389" i="24"/>
  <c r="W389" i="24"/>
  <c r="V389" i="24"/>
  <c r="U389" i="24"/>
  <c r="T389" i="24"/>
  <c r="S389" i="24"/>
  <c r="R389" i="24"/>
  <c r="X388" i="24"/>
  <c r="W388" i="24"/>
  <c r="V388" i="24"/>
  <c r="U388" i="24"/>
  <c r="T388" i="24"/>
  <c r="S388" i="24"/>
  <c r="R388" i="24"/>
  <c r="X387" i="24"/>
  <c r="W387" i="24"/>
  <c r="V387" i="24"/>
  <c r="U387" i="24"/>
  <c r="T387" i="24"/>
  <c r="S387" i="24"/>
  <c r="R387" i="24"/>
  <c r="X386" i="24"/>
  <c r="W386" i="24"/>
  <c r="V386" i="24"/>
  <c r="U386" i="24"/>
  <c r="T386" i="24"/>
  <c r="S386" i="24"/>
  <c r="R386" i="24"/>
  <c r="S382" i="24"/>
  <c r="X376" i="24"/>
  <c r="W376" i="24"/>
  <c r="V376" i="24"/>
  <c r="U376" i="24"/>
  <c r="T376" i="24"/>
  <c r="S376" i="24"/>
  <c r="R376" i="24"/>
  <c r="X375" i="24"/>
  <c r="W375" i="24"/>
  <c r="V375" i="24"/>
  <c r="U375" i="24"/>
  <c r="T375" i="24"/>
  <c r="S375" i="24"/>
  <c r="R375" i="24"/>
  <c r="X374" i="24"/>
  <c r="W374" i="24"/>
  <c r="V374" i="24"/>
  <c r="U374" i="24"/>
  <c r="T374" i="24"/>
  <c r="S374" i="24"/>
  <c r="R374" i="24"/>
  <c r="X373" i="24"/>
  <c r="W373" i="24"/>
  <c r="V373" i="24"/>
  <c r="U373" i="24"/>
  <c r="T373" i="24"/>
  <c r="S373" i="24"/>
  <c r="R373" i="24"/>
  <c r="X372" i="24"/>
  <c r="W372" i="24"/>
  <c r="V372" i="24"/>
  <c r="U372" i="24"/>
  <c r="T372" i="24"/>
  <c r="S372" i="24"/>
  <c r="R372" i="24"/>
  <c r="S368" i="24"/>
  <c r="X362" i="24"/>
  <c r="W362" i="24"/>
  <c r="V362" i="24"/>
  <c r="U362" i="24"/>
  <c r="T362" i="24"/>
  <c r="S362" i="24"/>
  <c r="R362" i="24"/>
  <c r="X361" i="24"/>
  <c r="W361" i="24"/>
  <c r="V361" i="24"/>
  <c r="U361" i="24"/>
  <c r="T361" i="24"/>
  <c r="S361" i="24"/>
  <c r="R361" i="24"/>
  <c r="X360" i="24"/>
  <c r="W360" i="24"/>
  <c r="V360" i="24"/>
  <c r="U360" i="24"/>
  <c r="T360" i="24"/>
  <c r="S360" i="24"/>
  <c r="R360" i="24"/>
  <c r="X359" i="24"/>
  <c r="W359" i="24"/>
  <c r="V359" i="24"/>
  <c r="U359" i="24"/>
  <c r="T359" i="24"/>
  <c r="S359" i="24"/>
  <c r="R359" i="24"/>
  <c r="X358" i="24"/>
  <c r="W358" i="24"/>
  <c r="V358" i="24"/>
  <c r="U358" i="24"/>
  <c r="T358" i="24"/>
  <c r="S358" i="24"/>
  <c r="R358" i="24"/>
  <c r="S354" i="24"/>
  <c r="X348" i="24"/>
  <c r="W348" i="24"/>
  <c r="V348" i="24"/>
  <c r="U348" i="24"/>
  <c r="T348" i="24"/>
  <c r="S348" i="24"/>
  <c r="R348" i="24"/>
  <c r="X347" i="24"/>
  <c r="W347" i="24"/>
  <c r="V347" i="24"/>
  <c r="U347" i="24"/>
  <c r="T347" i="24"/>
  <c r="S347" i="24"/>
  <c r="R347" i="24"/>
  <c r="X346" i="24"/>
  <c r="W346" i="24"/>
  <c r="V346" i="24"/>
  <c r="U346" i="24"/>
  <c r="T346" i="24"/>
  <c r="S346" i="24"/>
  <c r="R346" i="24"/>
  <c r="X345" i="24"/>
  <c r="W345" i="24"/>
  <c r="V345" i="24"/>
  <c r="U345" i="24"/>
  <c r="T345" i="24"/>
  <c r="S345" i="24"/>
  <c r="R345" i="24"/>
  <c r="X344" i="24"/>
  <c r="W344" i="24"/>
  <c r="V344" i="24"/>
  <c r="U344" i="24"/>
  <c r="T344" i="24"/>
  <c r="S344" i="24"/>
  <c r="R344" i="24"/>
  <c r="S340" i="24"/>
  <c r="X334" i="24"/>
  <c r="W334" i="24"/>
  <c r="V334" i="24"/>
  <c r="U334" i="24"/>
  <c r="T334" i="24"/>
  <c r="S334" i="24"/>
  <c r="R334" i="24"/>
  <c r="X333" i="24"/>
  <c r="W333" i="24"/>
  <c r="V333" i="24"/>
  <c r="U333" i="24"/>
  <c r="T333" i="24"/>
  <c r="S333" i="24"/>
  <c r="R333" i="24"/>
  <c r="X332" i="24"/>
  <c r="W332" i="24"/>
  <c r="V332" i="24"/>
  <c r="U332" i="24"/>
  <c r="T332" i="24"/>
  <c r="S332" i="24"/>
  <c r="R332" i="24"/>
  <c r="X331" i="24"/>
  <c r="W331" i="24"/>
  <c r="V331" i="24"/>
  <c r="U331" i="24"/>
  <c r="T331" i="24"/>
  <c r="S331" i="24"/>
  <c r="R331" i="24"/>
  <c r="X330" i="24"/>
  <c r="W330" i="24"/>
  <c r="V330" i="24"/>
  <c r="U330" i="24"/>
  <c r="T330" i="24"/>
  <c r="S330" i="24"/>
  <c r="R330" i="24"/>
  <c r="S326" i="24"/>
  <c r="X320" i="24"/>
  <c r="W320" i="24"/>
  <c r="V320" i="24"/>
  <c r="U320" i="24"/>
  <c r="T320" i="24"/>
  <c r="S320" i="24"/>
  <c r="R320" i="24"/>
  <c r="X319" i="24"/>
  <c r="W319" i="24"/>
  <c r="V319" i="24"/>
  <c r="U319" i="24"/>
  <c r="T319" i="24"/>
  <c r="S319" i="24"/>
  <c r="R319" i="24"/>
  <c r="X318" i="24"/>
  <c r="W318" i="24"/>
  <c r="V318" i="24"/>
  <c r="U318" i="24"/>
  <c r="T318" i="24"/>
  <c r="S318" i="24"/>
  <c r="R318" i="24"/>
  <c r="X317" i="24"/>
  <c r="W317" i="24"/>
  <c r="V317" i="24"/>
  <c r="U317" i="24"/>
  <c r="T317" i="24"/>
  <c r="S317" i="24"/>
  <c r="R317" i="24"/>
  <c r="X316" i="24"/>
  <c r="W316" i="24"/>
  <c r="V316" i="24"/>
  <c r="U316" i="24"/>
  <c r="T316" i="24"/>
  <c r="S316" i="24"/>
  <c r="R316" i="24"/>
  <c r="S312" i="24"/>
  <c r="D348" i="24"/>
  <c r="D347" i="24"/>
  <c r="D346" i="24"/>
  <c r="D345" i="24"/>
  <c r="D344" i="24"/>
  <c r="G340" i="24"/>
  <c r="D340" i="24"/>
  <c r="X306" i="24"/>
  <c r="W306" i="24"/>
  <c r="V306" i="24"/>
  <c r="U306" i="24"/>
  <c r="T306" i="24"/>
  <c r="S306" i="24"/>
  <c r="R306" i="24"/>
  <c r="X305" i="24"/>
  <c r="W305" i="24"/>
  <c r="V305" i="24"/>
  <c r="U305" i="24"/>
  <c r="T305" i="24"/>
  <c r="S305" i="24"/>
  <c r="R305" i="24"/>
  <c r="X304" i="24"/>
  <c r="W304" i="24"/>
  <c r="V304" i="24"/>
  <c r="U304" i="24"/>
  <c r="T304" i="24"/>
  <c r="S304" i="24"/>
  <c r="R304" i="24"/>
  <c r="X303" i="24"/>
  <c r="W303" i="24"/>
  <c r="V303" i="24"/>
  <c r="U303" i="24"/>
  <c r="T303" i="24"/>
  <c r="S303" i="24"/>
  <c r="R303" i="24"/>
  <c r="X302" i="24"/>
  <c r="W302" i="24"/>
  <c r="V302" i="24"/>
  <c r="U302" i="24"/>
  <c r="T302" i="24"/>
  <c r="S302" i="24"/>
  <c r="R302" i="24"/>
  <c r="X292" i="24"/>
  <c r="W292" i="24"/>
  <c r="V292" i="24"/>
  <c r="U292" i="24"/>
  <c r="T292" i="24"/>
  <c r="S292" i="24"/>
  <c r="R292" i="24"/>
  <c r="X291" i="24"/>
  <c r="W291" i="24"/>
  <c r="V291" i="24"/>
  <c r="U291" i="24"/>
  <c r="T291" i="24"/>
  <c r="S291" i="24"/>
  <c r="R291" i="24"/>
  <c r="X290" i="24"/>
  <c r="W290" i="24"/>
  <c r="V290" i="24"/>
  <c r="U290" i="24"/>
  <c r="T290" i="24"/>
  <c r="S290" i="24"/>
  <c r="R290" i="24"/>
  <c r="X289" i="24"/>
  <c r="W289" i="24"/>
  <c r="V289" i="24"/>
  <c r="U289" i="24"/>
  <c r="T289" i="24"/>
  <c r="S289" i="24"/>
  <c r="R289" i="24"/>
  <c r="X288" i="24"/>
  <c r="W288" i="24"/>
  <c r="V288" i="24"/>
  <c r="U288" i="24"/>
  <c r="T288" i="24"/>
  <c r="S288" i="24"/>
  <c r="R288" i="24"/>
  <c r="X278" i="24"/>
  <c r="W278" i="24"/>
  <c r="V278" i="24"/>
  <c r="U278" i="24"/>
  <c r="T278" i="24"/>
  <c r="S278" i="24"/>
  <c r="R278" i="24"/>
  <c r="D278" i="24"/>
  <c r="X277" i="24"/>
  <c r="W277" i="24"/>
  <c r="V277" i="24"/>
  <c r="U277" i="24"/>
  <c r="T277" i="24"/>
  <c r="S277" i="24"/>
  <c r="R277" i="24"/>
  <c r="D277" i="24"/>
  <c r="X276" i="24"/>
  <c r="W276" i="24"/>
  <c r="V276" i="24"/>
  <c r="U276" i="24"/>
  <c r="T276" i="24"/>
  <c r="S276" i="24"/>
  <c r="R276" i="24"/>
  <c r="D276" i="24"/>
  <c r="X275" i="24"/>
  <c r="W275" i="24"/>
  <c r="V275" i="24"/>
  <c r="U275" i="24"/>
  <c r="T275" i="24"/>
  <c r="S275" i="24"/>
  <c r="R275" i="24"/>
  <c r="D275" i="24"/>
  <c r="X274" i="24"/>
  <c r="W274" i="24"/>
  <c r="V274" i="24"/>
  <c r="U274" i="24"/>
  <c r="T274" i="24"/>
  <c r="S274" i="24"/>
  <c r="R274" i="24"/>
  <c r="D274" i="24"/>
  <c r="G270" i="24"/>
  <c r="D270" i="24"/>
  <c r="X264" i="24"/>
  <c r="W264" i="24"/>
  <c r="V264" i="24"/>
  <c r="U264" i="24"/>
  <c r="T264" i="24"/>
  <c r="S264" i="24"/>
  <c r="R264" i="24"/>
  <c r="X263" i="24"/>
  <c r="W263" i="24"/>
  <c r="V263" i="24"/>
  <c r="U263" i="24"/>
  <c r="T263" i="24"/>
  <c r="S263" i="24"/>
  <c r="R263" i="24"/>
  <c r="X262" i="24"/>
  <c r="W262" i="24"/>
  <c r="V262" i="24"/>
  <c r="U262" i="24"/>
  <c r="T262" i="24"/>
  <c r="S262" i="24"/>
  <c r="R262" i="24"/>
  <c r="X261" i="24"/>
  <c r="W261" i="24"/>
  <c r="V261" i="24"/>
  <c r="U261" i="24"/>
  <c r="T261" i="24"/>
  <c r="S261" i="24"/>
  <c r="R261" i="24"/>
  <c r="X260" i="24"/>
  <c r="W260" i="24"/>
  <c r="V260" i="24"/>
  <c r="U260" i="24"/>
  <c r="T260" i="24"/>
  <c r="S260" i="24"/>
  <c r="R260" i="24"/>
  <c r="X250" i="24"/>
  <c r="W250" i="24"/>
  <c r="V250" i="24"/>
  <c r="U250" i="24"/>
  <c r="T250" i="24"/>
  <c r="S250" i="24"/>
  <c r="R250" i="24"/>
  <c r="X249" i="24"/>
  <c r="W249" i="24"/>
  <c r="V249" i="24"/>
  <c r="U249" i="24"/>
  <c r="T249" i="24"/>
  <c r="S249" i="24"/>
  <c r="R249" i="24"/>
  <c r="X248" i="24"/>
  <c r="W248" i="24"/>
  <c r="V248" i="24"/>
  <c r="U248" i="24"/>
  <c r="T248" i="24"/>
  <c r="S248" i="24"/>
  <c r="R248" i="24"/>
  <c r="X247" i="24"/>
  <c r="W247" i="24"/>
  <c r="V247" i="24"/>
  <c r="U247" i="24"/>
  <c r="T247" i="24"/>
  <c r="S247" i="24"/>
  <c r="R247" i="24"/>
  <c r="X246" i="24"/>
  <c r="W246" i="24"/>
  <c r="V246" i="24"/>
  <c r="U246" i="24"/>
  <c r="T246" i="24"/>
  <c r="S246" i="24"/>
  <c r="R246" i="24"/>
  <c r="X236" i="24"/>
  <c r="W236" i="24"/>
  <c r="V236" i="24"/>
  <c r="U236" i="24"/>
  <c r="T236" i="24"/>
  <c r="S236" i="24"/>
  <c r="R236" i="24"/>
  <c r="X235" i="24"/>
  <c r="W235" i="24"/>
  <c r="V235" i="24"/>
  <c r="U235" i="24"/>
  <c r="T235" i="24"/>
  <c r="S235" i="24"/>
  <c r="R235" i="24"/>
  <c r="X234" i="24"/>
  <c r="W234" i="24"/>
  <c r="V234" i="24"/>
  <c r="U234" i="24"/>
  <c r="T234" i="24"/>
  <c r="S234" i="24"/>
  <c r="R234" i="24"/>
  <c r="X233" i="24"/>
  <c r="W233" i="24"/>
  <c r="V233" i="24"/>
  <c r="U233" i="24"/>
  <c r="T233" i="24"/>
  <c r="S233" i="24"/>
  <c r="R233" i="24"/>
  <c r="X232" i="24"/>
  <c r="W232" i="24"/>
  <c r="V232" i="24"/>
  <c r="U232" i="24"/>
  <c r="T232" i="24"/>
  <c r="S232" i="24"/>
  <c r="R232" i="24"/>
  <c r="X222" i="24"/>
  <c r="W222" i="24"/>
  <c r="V222" i="24"/>
  <c r="U222" i="24"/>
  <c r="T222" i="24"/>
  <c r="S222" i="24"/>
  <c r="R222" i="24"/>
  <c r="X221" i="24"/>
  <c r="W221" i="24"/>
  <c r="V221" i="24"/>
  <c r="U221" i="24"/>
  <c r="T221" i="24"/>
  <c r="S221" i="24"/>
  <c r="R221" i="24"/>
  <c r="X220" i="24"/>
  <c r="W220" i="24"/>
  <c r="V220" i="24"/>
  <c r="U220" i="24"/>
  <c r="T220" i="24"/>
  <c r="S220" i="24"/>
  <c r="R220" i="24"/>
  <c r="X219" i="24"/>
  <c r="W219" i="24"/>
  <c r="V219" i="24"/>
  <c r="U219" i="24"/>
  <c r="T219" i="24"/>
  <c r="S219" i="24"/>
  <c r="R219" i="24"/>
  <c r="X218" i="24"/>
  <c r="W218" i="24"/>
  <c r="V218" i="24"/>
  <c r="U218" i="24"/>
  <c r="T218" i="24"/>
  <c r="S218" i="24"/>
  <c r="R218" i="24"/>
  <c r="X208" i="24"/>
  <c r="W208" i="24"/>
  <c r="V208" i="24"/>
  <c r="U208" i="24"/>
  <c r="T208" i="24"/>
  <c r="S208" i="24"/>
  <c r="R208" i="24"/>
  <c r="D208" i="24"/>
  <c r="X207" i="24"/>
  <c r="W207" i="24"/>
  <c r="V207" i="24"/>
  <c r="U207" i="24"/>
  <c r="T207" i="24"/>
  <c r="S207" i="24"/>
  <c r="R207" i="24"/>
  <c r="D207" i="24"/>
  <c r="X206" i="24"/>
  <c r="W206" i="24"/>
  <c r="V206" i="24"/>
  <c r="U206" i="24"/>
  <c r="T206" i="24"/>
  <c r="S206" i="24"/>
  <c r="R206" i="24"/>
  <c r="D206" i="24"/>
  <c r="X205" i="24"/>
  <c r="W205" i="24"/>
  <c r="V205" i="24"/>
  <c r="U205" i="24"/>
  <c r="T205" i="24"/>
  <c r="S205" i="24"/>
  <c r="R205" i="24"/>
  <c r="D205" i="24"/>
  <c r="X204" i="24"/>
  <c r="W204" i="24"/>
  <c r="V204" i="24"/>
  <c r="U204" i="24"/>
  <c r="T204" i="24"/>
  <c r="S204" i="24"/>
  <c r="R204" i="24"/>
  <c r="D204" i="24"/>
  <c r="G200" i="24"/>
  <c r="D200" i="24"/>
  <c r="X194" i="24"/>
  <c r="W194" i="24"/>
  <c r="V194" i="24"/>
  <c r="U194" i="24"/>
  <c r="T194" i="24"/>
  <c r="S194" i="24"/>
  <c r="R194" i="24"/>
  <c r="X193" i="24"/>
  <c r="W193" i="24"/>
  <c r="V193" i="24"/>
  <c r="U193" i="24"/>
  <c r="T193" i="24"/>
  <c r="S193" i="24"/>
  <c r="R193" i="24"/>
  <c r="X192" i="24"/>
  <c r="W192" i="24"/>
  <c r="V192" i="24"/>
  <c r="U192" i="24"/>
  <c r="T192" i="24"/>
  <c r="S192" i="24"/>
  <c r="R192" i="24"/>
  <c r="X191" i="24"/>
  <c r="W191" i="24"/>
  <c r="V191" i="24"/>
  <c r="U191" i="24"/>
  <c r="T191" i="24"/>
  <c r="S191" i="24"/>
  <c r="R191" i="24"/>
  <c r="X190" i="24"/>
  <c r="W190" i="24"/>
  <c r="V190" i="24"/>
  <c r="U190" i="24"/>
  <c r="T190" i="24"/>
  <c r="S190" i="24"/>
  <c r="R190" i="24"/>
  <c r="X180" i="24"/>
  <c r="W180" i="24"/>
  <c r="V180" i="24"/>
  <c r="U180" i="24"/>
  <c r="T180" i="24"/>
  <c r="S180" i="24"/>
  <c r="R180" i="24"/>
  <c r="X179" i="24"/>
  <c r="W179" i="24"/>
  <c r="V179" i="24"/>
  <c r="U179" i="24"/>
  <c r="T179" i="24"/>
  <c r="S179" i="24"/>
  <c r="R179" i="24"/>
  <c r="X178" i="24"/>
  <c r="W178" i="24"/>
  <c r="V178" i="24"/>
  <c r="U178" i="24"/>
  <c r="T178" i="24"/>
  <c r="S178" i="24"/>
  <c r="R178" i="24"/>
  <c r="X177" i="24"/>
  <c r="W177" i="24"/>
  <c r="V177" i="24"/>
  <c r="U177" i="24"/>
  <c r="T177" i="24"/>
  <c r="S177" i="24"/>
  <c r="R177" i="24"/>
  <c r="X176" i="24"/>
  <c r="W176" i="24"/>
  <c r="V176" i="24"/>
  <c r="U176" i="24"/>
  <c r="T176" i="24"/>
  <c r="S176" i="24"/>
  <c r="R176" i="24"/>
  <c r="X166" i="24"/>
  <c r="W166" i="24"/>
  <c r="V166" i="24"/>
  <c r="U166" i="24"/>
  <c r="T166" i="24"/>
  <c r="S166" i="24"/>
  <c r="R166" i="24"/>
  <c r="X165" i="24"/>
  <c r="W165" i="24"/>
  <c r="V165" i="24"/>
  <c r="U165" i="24"/>
  <c r="T165" i="24"/>
  <c r="S165" i="24"/>
  <c r="R165" i="24"/>
  <c r="X164" i="24"/>
  <c r="W164" i="24"/>
  <c r="V164" i="24"/>
  <c r="U164" i="24"/>
  <c r="T164" i="24"/>
  <c r="S164" i="24"/>
  <c r="R164" i="24"/>
  <c r="X163" i="24"/>
  <c r="W163" i="24"/>
  <c r="V163" i="24"/>
  <c r="U163" i="24"/>
  <c r="T163" i="24"/>
  <c r="S163" i="24"/>
  <c r="R163" i="24"/>
  <c r="X162" i="24"/>
  <c r="W162" i="24"/>
  <c r="V162" i="24"/>
  <c r="U162" i="24"/>
  <c r="T162" i="24"/>
  <c r="S162" i="24"/>
  <c r="R162" i="24"/>
  <c r="X152" i="24"/>
  <c r="W152" i="24"/>
  <c r="V152" i="24"/>
  <c r="U152" i="24"/>
  <c r="T152" i="24"/>
  <c r="S152" i="24"/>
  <c r="R152" i="24"/>
  <c r="X151" i="24"/>
  <c r="W151" i="24"/>
  <c r="V151" i="24"/>
  <c r="U151" i="24"/>
  <c r="T151" i="24"/>
  <c r="S151" i="24"/>
  <c r="R151" i="24"/>
  <c r="X150" i="24"/>
  <c r="W150" i="24"/>
  <c r="V150" i="24"/>
  <c r="U150" i="24"/>
  <c r="T150" i="24"/>
  <c r="S150" i="24"/>
  <c r="R150" i="24"/>
  <c r="X149" i="24"/>
  <c r="W149" i="24"/>
  <c r="V149" i="24"/>
  <c r="U149" i="24"/>
  <c r="T149" i="24"/>
  <c r="S149" i="24"/>
  <c r="R149" i="24"/>
  <c r="X148" i="24"/>
  <c r="W148" i="24"/>
  <c r="V148" i="24"/>
  <c r="U148" i="24"/>
  <c r="T148" i="24"/>
  <c r="S148" i="24"/>
  <c r="R148" i="24"/>
  <c r="X138" i="24"/>
  <c r="W138" i="24"/>
  <c r="V138" i="24"/>
  <c r="U138" i="24"/>
  <c r="T138" i="24"/>
  <c r="S138" i="24"/>
  <c r="R138" i="24"/>
  <c r="D138" i="24"/>
  <c r="X137" i="24"/>
  <c r="W137" i="24"/>
  <c r="V137" i="24"/>
  <c r="U137" i="24"/>
  <c r="T137" i="24"/>
  <c r="S137" i="24"/>
  <c r="R137" i="24"/>
  <c r="D137" i="24"/>
  <c r="X136" i="24"/>
  <c r="W136" i="24"/>
  <c r="V136" i="24"/>
  <c r="U136" i="24"/>
  <c r="T136" i="24"/>
  <c r="S136" i="24"/>
  <c r="R136" i="24"/>
  <c r="D136" i="24"/>
  <c r="X135" i="24"/>
  <c r="W135" i="24"/>
  <c r="V135" i="24"/>
  <c r="U135" i="24"/>
  <c r="T135" i="24"/>
  <c r="S135" i="24"/>
  <c r="R135" i="24"/>
  <c r="D135" i="24"/>
  <c r="X134" i="24"/>
  <c r="W134" i="24"/>
  <c r="V134" i="24"/>
  <c r="U134" i="24"/>
  <c r="T134" i="24"/>
  <c r="S134" i="24"/>
  <c r="R134" i="24"/>
  <c r="D134" i="24"/>
  <c r="G130" i="24"/>
  <c r="D130" i="24"/>
  <c r="X124" i="24"/>
  <c r="W124" i="24"/>
  <c r="V124" i="24"/>
  <c r="U124" i="24"/>
  <c r="T124" i="24"/>
  <c r="S124" i="24"/>
  <c r="R124" i="24"/>
  <c r="X123" i="24"/>
  <c r="W123" i="24"/>
  <c r="V123" i="24"/>
  <c r="U123" i="24"/>
  <c r="T123" i="24"/>
  <c r="S123" i="24"/>
  <c r="R123" i="24"/>
  <c r="X122" i="24"/>
  <c r="W122" i="24"/>
  <c r="V122" i="24"/>
  <c r="U122" i="24"/>
  <c r="T122" i="24"/>
  <c r="S122" i="24"/>
  <c r="R122" i="24"/>
  <c r="X121" i="24"/>
  <c r="W121" i="24"/>
  <c r="V121" i="24"/>
  <c r="U121" i="24"/>
  <c r="T121" i="24"/>
  <c r="S121" i="24"/>
  <c r="R121" i="24"/>
  <c r="X120" i="24"/>
  <c r="W120" i="24"/>
  <c r="V120" i="24"/>
  <c r="U120" i="24"/>
  <c r="T120" i="24"/>
  <c r="S120" i="24"/>
  <c r="R120" i="24"/>
  <c r="X110" i="24"/>
  <c r="W110" i="24"/>
  <c r="V110" i="24"/>
  <c r="U110" i="24"/>
  <c r="T110" i="24"/>
  <c r="S110" i="24"/>
  <c r="R110" i="24"/>
  <c r="D110" i="24"/>
  <c r="X109" i="24"/>
  <c r="W109" i="24"/>
  <c r="V109" i="24"/>
  <c r="U109" i="24"/>
  <c r="T109" i="24"/>
  <c r="S109" i="24"/>
  <c r="R109" i="24"/>
  <c r="D109" i="24"/>
  <c r="X108" i="24"/>
  <c r="W108" i="24"/>
  <c r="V108" i="24"/>
  <c r="U108" i="24"/>
  <c r="T108" i="24"/>
  <c r="S108" i="24"/>
  <c r="R108" i="24"/>
  <c r="D108" i="24"/>
  <c r="X107" i="24"/>
  <c r="W107" i="24"/>
  <c r="V107" i="24"/>
  <c r="U107" i="24"/>
  <c r="T107" i="24"/>
  <c r="S107" i="24"/>
  <c r="R107" i="24"/>
  <c r="D107" i="24"/>
  <c r="X106" i="24"/>
  <c r="W106" i="24"/>
  <c r="V106" i="24"/>
  <c r="U106" i="24"/>
  <c r="T106" i="24"/>
  <c r="S106" i="24"/>
  <c r="R106" i="24"/>
  <c r="D106" i="24"/>
  <c r="G102" i="24"/>
  <c r="D102" i="24"/>
  <c r="X96" i="24"/>
  <c r="W96" i="24"/>
  <c r="V96" i="24"/>
  <c r="U96" i="24"/>
  <c r="T96" i="24"/>
  <c r="S96" i="24"/>
  <c r="R96" i="24"/>
  <c r="X95" i="24"/>
  <c r="W95" i="24"/>
  <c r="V95" i="24"/>
  <c r="U95" i="24"/>
  <c r="T95" i="24"/>
  <c r="S95" i="24"/>
  <c r="R95" i="24"/>
  <c r="X94" i="24"/>
  <c r="W94" i="24"/>
  <c r="V94" i="24"/>
  <c r="U94" i="24"/>
  <c r="T94" i="24"/>
  <c r="S94" i="24"/>
  <c r="R94" i="24"/>
  <c r="X93" i="24"/>
  <c r="W93" i="24"/>
  <c r="V93" i="24"/>
  <c r="U93" i="24"/>
  <c r="T93" i="24"/>
  <c r="S93" i="24"/>
  <c r="R93" i="24"/>
  <c r="X92" i="24"/>
  <c r="W92" i="24"/>
  <c r="V92" i="24"/>
  <c r="U92" i="24"/>
  <c r="T92" i="24"/>
  <c r="S92" i="24"/>
  <c r="R92" i="24"/>
  <c r="X82" i="24"/>
  <c r="W82" i="24"/>
  <c r="V82" i="24"/>
  <c r="U82" i="24"/>
  <c r="T82" i="24"/>
  <c r="S82" i="24"/>
  <c r="R82" i="24"/>
  <c r="X81" i="24"/>
  <c r="W81" i="24"/>
  <c r="V81" i="24"/>
  <c r="U81" i="24"/>
  <c r="T81" i="24"/>
  <c r="S81" i="24"/>
  <c r="R81" i="24"/>
  <c r="X80" i="24"/>
  <c r="W80" i="24"/>
  <c r="V80" i="24"/>
  <c r="U80" i="24"/>
  <c r="T80" i="24"/>
  <c r="S80" i="24"/>
  <c r="R80" i="24"/>
  <c r="X79" i="24"/>
  <c r="W79" i="24"/>
  <c r="V79" i="24"/>
  <c r="U79" i="24"/>
  <c r="T79" i="24"/>
  <c r="S79" i="24"/>
  <c r="R79" i="24"/>
  <c r="X78" i="24"/>
  <c r="W78" i="24"/>
  <c r="V78" i="24"/>
  <c r="U78" i="24"/>
  <c r="T78" i="24"/>
  <c r="S78" i="24"/>
  <c r="R78" i="24"/>
  <c r="X68" i="24"/>
  <c r="W68" i="24"/>
  <c r="V68" i="24"/>
  <c r="U68" i="24"/>
  <c r="T68" i="24"/>
  <c r="S68" i="24"/>
  <c r="R68" i="24"/>
  <c r="D68" i="24"/>
  <c r="X67" i="24"/>
  <c r="W67" i="24"/>
  <c r="V67" i="24"/>
  <c r="U67" i="24"/>
  <c r="T67" i="24"/>
  <c r="S67" i="24"/>
  <c r="R67" i="24"/>
  <c r="D67" i="24"/>
  <c r="X66" i="24"/>
  <c r="W66" i="24"/>
  <c r="V66" i="24"/>
  <c r="U66" i="24"/>
  <c r="T66" i="24"/>
  <c r="S66" i="24"/>
  <c r="R66" i="24"/>
  <c r="D66" i="24"/>
  <c r="X65" i="24"/>
  <c r="W65" i="24"/>
  <c r="V65" i="24"/>
  <c r="U65" i="24"/>
  <c r="T65" i="24"/>
  <c r="S65" i="24"/>
  <c r="R65" i="24"/>
  <c r="D65" i="24"/>
  <c r="X64" i="24"/>
  <c r="W64" i="24"/>
  <c r="V64" i="24"/>
  <c r="U64" i="24"/>
  <c r="T64" i="24"/>
  <c r="S64" i="24"/>
  <c r="R64" i="24"/>
  <c r="D64" i="24"/>
  <c r="G60" i="24"/>
  <c r="D60" i="24"/>
  <c r="X54" i="24"/>
  <c r="W54" i="24"/>
  <c r="V54" i="24"/>
  <c r="U54" i="24"/>
  <c r="T54" i="24"/>
  <c r="S54" i="24"/>
  <c r="R54" i="24"/>
  <c r="X53" i="24"/>
  <c r="W53" i="24"/>
  <c r="V53" i="24"/>
  <c r="U53" i="24"/>
  <c r="T53" i="24"/>
  <c r="S53" i="24"/>
  <c r="R53" i="24"/>
  <c r="X52" i="24"/>
  <c r="W52" i="24"/>
  <c r="V52" i="24"/>
  <c r="U52" i="24"/>
  <c r="T52" i="24"/>
  <c r="S52" i="24"/>
  <c r="R52" i="24"/>
  <c r="X51" i="24"/>
  <c r="W51" i="24"/>
  <c r="V51" i="24"/>
  <c r="U51" i="24"/>
  <c r="T51" i="24"/>
  <c r="S51" i="24"/>
  <c r="R51" i="24"/>
  <c r="X50" i="24"/>
  <c r="W50" i="24"/>
  <c r="V50" i="24"/>
  <c r="U50" i="24"/>
  <c r="T50" i="24"/>
  <c r="S50" i="24"/>
  <c r="R50" i="24"/>
  <c r="X40" i="24"/>
  <c r="W40" i="24"/>
  <c r="V40" i="24"/>
  <c r="U40" i="24"/>
  <c r="T40" i="24"/>
  <c r="S40" i="24"/>
  <c r="R40" i="24"/>
  <c r="X39" i="24"/>
  <c r="W39" i="24"/>
  <c r="V39" i="24"/>
  <c r="U39" i="24"/>
  <c r="T39" i="24"/>
  <c r="S39" i="24"/>
  <c r="R39" i="24"/>
  <c r="X38" i="24"/>
  <c r="W38" i="24"/>
  <c r="V38" i="24"/>
  <c r="U38" i="24"/>
  <c r="T38" i="24"/>
  <c r="S38" i="24"/>
  <c r="R38" i="24"/>
  <c r="X37" i="24"/>
  <c r="W37" i="24"/>
  <c r="V37" i="24"/>
  <c r="U37" i="24"/>
  <c r="T37" i="24"/>
  <c r="S37" i="24"/>
  <c r="R37" i="24"/>
  <c r="X36" i="24"/>
  <c r="W36" i="24"/>
  <c r="V36" i="24"/>
  <c r="U36" i="24"/>
  <c r="T36" i="24"/>
  <c r="S36" i="24"/>
  <c r="R36" i="24"/>
  <c r="X26" i="24"/>
  <c r="W26" i="24"/>
  <c r="V26" i="24"/>
  <c r="U26" i="24"/>
  <c r="T26" i="24"/>
  <c r="S26" i="24"/>
  <c r="R26" i="24"/>
  <c r="X25" i="24"/>
  <c r="W25" i="24"/>
  <c r="V25" i="24"/>
  <c r="U25" i="24"/>
  <c r="T25" i="24"/>
  <c r="S25" i="24"/>
  <c r="R25" i="24"/>
  <c r="X24" i="24"/>
  <c r="W24" i="24"/>
  <c r="V24" i="24"/>
  <c r="U24" i="24"/>
  <c r="T24" i="24"/>
  <c r="S24" i="24"/>
  <c r="R24" i="24"/>
  <c r="X23" i="24"/>
  <c r="W23" i="24"/>
  <c r="V23" i="24"/>
  <c r="U23" i="24"/>
  <c r="T23" i="24"/>
  <c r="S23" i="24"/>
  <c r="R23" i="24"/>
  <c r="X22" i="24"/>
  <c r="W22" i="24"/>
  <c r="V22" i="24"/>
  <c r="U22" i="24"/>
  <c r="T22" i="24"/>
  <c r="S22" i="24"/>
  <c r="R22" i="24"/>
  <c r="X12" i="24"/>
  <c r="W12" i="24"/>
  <c r="V12" i="24"/>
  <c r="U12" i="24"/>
  <c r="T12" i="24"/>
  <c r="S12" i="24"/>
  <c r="R12" i="24"/>
  <c r="X11" i="24"/>
  <c r="W11" i="24"/>
  <c r="V11" i="24"/>
  <c r="U11" i="24"/>
  <c r="T11" i="24"/>
  <c r="S11" i="24"/>
  <c r="R11" i="24"/>
  <c r="X10" i="24"/>
  <c r="W10" i="24"/>
  <c r="V10" i="24"/>
  <c r="U10" i="24"/>
  <c r="T10" i="24"/>
  <c r="S10" i="24"/>
  <c r="R10" i="24"/>
  <c r="X9" i="24"/>
  <c r="W9" i="24"/>
  <c r="V9" i="24"/>
  <c r="U9" i="24"/>
  <c r="T9" i="24"/>
  <c r="S9" i="24"/>
  <c r="R9" i="24"/>
  <c r="X8" i="24"/>
  <c r="W8" i="24"/>
  <c r="V8" i="24"/>
  <c r="V1" i="24" s="1"/>
  <c r="U8" i="24"/>
  <c r="T8" i="24"/>
  <c r="S8" i="24"/>
  <c r="R8" i="24"/>
  <c r="X96" i="12"/>
  <c r="W96" i="12"/>
  <c r="V96" i="12"/>
  <c r="U96" i="12"/>
  <c r="T96" i="12"/>
  <c r="S96" i="12"/>
  <c r="R96" i="12"/>
  <c r="X95" i="12"/>
  <c r="W95" i="12"/>
  <c r="V95" i="12"/>
  <c r="U95" i="12"/>
  <c r="T95" i="12"/>
  <c r="S95" i="12"/>
  <c r="R95" i="12"/>
  <c r="X94" i="12"/>
  <c r="W94" i="12"/>
  <c r="V94" i="12"/>
  <c r="U94" i="12"/>
  <c r="T94" i="12"/>
  <c r="S94" i="12"/>
  <c r="R94" i="12"/>
  <c r="X93" i="12"/>
  <c r="W93" i="12"/>
  <c r="V93" i="12"/>
  <c r="U93" i="12"/>
  <c r="T93" i="12"/>
  <c r="S93" i="12"/>
  <c r="R93" i="12"/>
  <c r="X92" i="12"/>
  <c r="W92" i="12"/>
  <c r="V92" i="12"/>
  <c r="U92" i="12"/>
  <c r="T92" i="12"/>
  <c r="S92" i="12"/>
  <c r="R92" i="12"/>
  <c r="S88" i="12"/>
  <c r="S298" i="24"/>
  <c r="S284" i="24"/>
  <c r="S270" i="24"/>
  <c r="S256" i="24"/>
  <c r="S242" i="24"/>
  <c r="S228" i="24"/>
  <c r="S214" i="24"/>
  <c r="S200" i="24"/>
  <c r="S186" i="24"/>
  <c r="S172" i="24"/>
  <c r="X194" i="7"/>
  <c r="W194" i="7"/>
  <c r="V194" i="7"/>
  <c r="U194" i="7"/>
  <c r="T194" i="7"/>
  <c r="S194" i="7"/>
  <c r="R194" i="7"/>
  <c r="X193" i="7"/>
  <c r="W193" i="7"/>
  <c r="V193" i="7"/>
  <c r="U193" i="7"/>
  <c r="T193" i="7"/>
  <c r="S193" i="7"/>
  <c r="R193" i="7"/>
  <c r="X192" i="7"/>
  <c r="W192" i="7"/>
  <c r="V192" i="7"/>
  <c r="U192" i="7"/>
  <c r="T192" i="7"/>
  <c r="S192" i="7"/>
  <c r="R192" i="7"/>
  <c r="X191" i="7"/>
  <c r="W191" i="7"/>
  <c r="V191" i="7"/>
  <c r="U191" i="7"/>
  <c r="T191" i="7"/>
  <c r="S191" i="7"/>
  <c r="R191" i="7"/>
  <c r="X190" i="7"/>
  <c r="W190" i="7"/>
  <c r="V190" i="7"/>
  <c r="U190" i="7"/>
  <c r="T190" i="7"/>
  <c r="S190" i="7"/>
  <c r="R190" i="7"/>
  <c r="S186" i="7"/>
  <c r="W7" i="35"/>
  <c r="W8" i="35"/>
  <c r="W9" i="35"/>
  <c r="W10" i="35"/>
  <c r="W11" i="35"/>
  <c r="W12" i="35"/>
  <c r="W13" i="35"/>
  <c r="W14" i="35"/>
  <c r="W16" i="35"/>
  <c r="W17" i="35"/>
  <c r="W15" i="35"/>
  <c r="W18" i="35"/>
  <c r="W19" i="35"/>
  <c r="W20" i="35"/>
  <c r="W21" i="35"/>
  <c r="W22" i="35"/>
  <c r="W23" i="35"/>
  <c r="W24" i="35"/>
  <c r="W25" i="35"/>
  <c r="W26" i="35"/>
  <c r="W27" i="35"/>
  <c r="W28" i="35"/>
  <c r="W29" i="35"/>
  <c r="W30" i="35"/>
  <c r="W32" i="35"/>
  <c r="W33" i="35"/>
  <c r="W34" i="35"/>
  <c r="W35" i="35"/>
  <c r="W36" i="35"/>
  <c r="W37" i="35"/>
  <c r="W38" i="35"/>
  <c r="W39" i="35"/>
  <c r="W40" i="35"/>
  <c r="W41" i="35"/>
  <c r="W42" i="35"/>
  <c r="W43" i="35"/>
  <c r="W45" i="35"/>
  <c r="W46" i="35"/>
  <c r="W47" i="35"/>
  <c r="W48" i="35"/>
  <c r="W50" i="35"/>
  <c r="W51" i="35"/>
  <c r="W52" i="35"/>
  <c r="W53" i="35"/>
  <c r="I53" i="35" s="1"/>
  <c r="W54" i="35"/>
  <c r="I54" i="35" s="1"/>
  <c r="W55" i="35"/>
  <c r="I55" i="35" s="1"/>
  <c r="W56" i="35"/>
  <c r="I56" i="35" s="1"/>
  <c r="W57" i="35"/>
  <c r="I57" i="35" s="1"/>
  <c r="W58" i="35"/>
  <c r="I58" i="35" s="1"/>
  <c r="W59" i="35"/>
  <c r="I59" i="35" s="1"/>
  <c r="Y10" i="35"/>
  <c r="O10" i="35"/>
  <c r="W1" i="24" l="1"/>
  <c r="X1" i="24"/>
  <c r="R1" i="24"/>
  <c r="T1" i="24"/>
  <c r="U1" i="24"/>
  <c r="V10" i="35"/>
  <c r="T10" i="35"/>
  <c r="X10" i="35" s="1"/>
  <c r="I10" i="35"/>
  <c r="X53" i="35"/>
  <c r="X59" i="35"/>
  <c r="X58" i="35"/>
  <c r="X57" i="35"/>
  <c r="X56" i="35"/>
  <c r="X55" i="35"/>
  <c r="X54" i="35"/>
  <c r="Y59" i="35"/>
  <c r="U53" i="35"/>
  <c r="U54" i="35"/>
  <c r="U58" i="35"/>
  <c r="U10" i="35"/>
  <c r="U55" i="35"/>
  <c r="U59" i="35"/>
  <c r="U57" i="35"/>
  <c r="U56" i="35"/>
  <c r="BY10" i="35"/>
  <c r="AR10" i="35"/>
  <c r="Y54" i="35"/>
  <c r="Y53" i="35"/>
  <c r="Y9" i="35"/>
  <c r="Y16" i="35"/>
  <c r="Y47" i="35"/>
  <c r="Y42" i="35"/>
  <c r="AR42" i="35" s="1"/>
  <c r="Y37" i="35"/>
  <c r="Y32" i="35"/>
  <c r="Y23" i="35"/>
  <c r="Y22" i="35"/>
  <c r="Y29" i="35"/>
  <c r="Y58" i="35"/>
  <c r="Y57" i="35"/>
  <c r="Y52" i="35"/>
  <c r="Y46" i="35"/>
  <c r="Y41" i="35"/>
  <c r="AR41" i="35" s="1"/>
  <c r="Y36" i="35"/>
  <c r="Y35" i="35"/>
  <c r="Y28" i="35"/>
  <c r="Y27" i="35"/>
  <c r="Y14" i="35"/>
  <c r="Y13" i="35"/>
  <c r="Y8" i="35"/>
  <c r="Y7" i="35"/>
  <c r="Y56" i="35"/>
  <c r="Y51" i="35"/>
  <c r="Y45" i="35"/>
  <c r="AR45" i="35" s="1"/>
  <c r="Y40" i="35"/>
  <c r="Y39" i="35"/>
  <c r="Y34" i="35"/>
  <c r="Y31" i="35"/>
  <c r="Y26" i="35"/>
  <c r="Y25" i="35"/>
  <c r="Y21" i="35"/>
  <c r="Y20" i="35"/>
  <c r="Y19" i="35"/>
  <c r="Y12" i="35"/>
  <c r="Y11" i="35"/>
  <c r="Y6" i="35"/>
  <c r="Y55" i="35"/>
  <c r="Y50" i="35"/>
  <c r="Y48" i="35"/>
  <c r="Y43" i="35"/>
  <c r="AR43" i="35" s="1"/>
  <c r="Y38" i="35"/>
  <c r="Y33" i="35"/>
  <c r="Y30" i="35"/>
  <c r="Y24" i="35"/>
  <c r="Y18" i="35"/>
  <c r="Y15" i="35"/>
  <c r="Y17" i="35"/>
  <c r="F14" i="38"/>
  <c r="AH58" i="35"/>
  <c r="O26" i="35"/>
  <c r="O11" i="35"/>
  <c r="O37" i="35"/>
  <c r="O25" i="35"/>
  <c r="O8" i="35"/>
  <c r="O6" i="35"/>
  <c r="O48" i="35"/>
  <c r="O41" i="35"/>
  <c r="O33" i="35"/>
  <c r="O35" i="35"/>
  <c r="O18" i="35"/>
  <c r="O29" i="35"/>
  <c r="O36" i="35"/>
  <c r="O50" i="35"/>
  <c r="O51" i="35"/>
  <c r="O22" i="35"/>
  <c r="O42" i="35"/>
  <c r="O38" i="35"/>
  <c r="O39" i="35"/>
  <c r="O47" i="35"/>
  <c r="O9" i="35"/>
  <c r="O30" i="35"/>
  <c r="F15" i="38"/>
  <c r="O23" i="35"/>
  <c r="O27" i="35"/>
  <c r="O46" i="35"/>
  <c r="O40" i="35"/>
  <c r="O31" i="35"/>
  <c r="O17" i="35"/>
  <c r="O45" i="35"/>
  <c r="O28" i="35"/>
  <c r="O20" i="35"/>
  <c r="O7" i="35"/>
  <c r="O52" i="35"/>
  <c r="O43" i="35"/>
  <c r="O12" i="35"/>
  <c r="O24" i="35"/>
  <c r="O21" i="35"/>
  <c r="O14" i="35"/>
  <c r="O16" i="35"/>
  <c r="O34" i="35"/>
  <c r="O15" i="35"/>
  <c r="AH59" i="35"/>
  <c r="O19" i="35"/>
  <c r="O32" i="35"/>
  <c r="O13" i="35"/>
  <c r="AH57" i="35"/>
  <c r="V24" i="35" l="1"/>
  <c r="T24" i="35"/>
  <c r="X24" i="35" s="1"/>
  <c r="I24" i="35"/>
  <c r="U24" i="35"/>
  <c r="V41" i="35"/>
  <c r="T41" i="35"/>
  <c r="X41" i="35" s="1"/>
  <c r="I41" i="35"/>
  <c r="U41" i="35"/>
  <c r="V33" i="35"/>
  <c r="T33" i="35"/>
  <c r="X33" i="35" s="1"/>
  <c r="U33" i="35"/>
  <c r="I33" i="35"/>
  <c r="V12" i="35"/>
  <c r="T12" i="35"/>
  <c r="X12" i="35" s="1"/>
  <c r="I12" i="35"/>
  <c r="U12" i="35"/>
  <c r="T39" i="35"/>
  <c r="X39" i="35" s="1"/>
  <c r="V39" i="35"/>
  <c r="U39" i="35"/>
  <c r="I39" i="35"/>
  <c r="V14" i="35"/>
  <c r="T14" i="35"/>
  <c r="X14" i="35" s="1"/>
  <c r="U14" i="35"/>
  <c r="I14" i="35"/>
  <c r="V46" i="35"/>
  <c r="T46" i="35"/>
  <c r="X46" i="35" s="1"/>
  <c r="I46" i="35"/>
  <c r="U46" i="35"/>
  <c r="V37" i="35"/>
  <c r="T37" i="35"/>
  <c r="X37" i="35" s="1"/>
  <c r="U37" i="35"/>
  <c r="I37" i="35"/>
  <c r="V30" i="35"/>
  <c r="T30" i="35"/>
  <c r="X30" i="35" s="1"/>
  <c r="I30" i="35"/>
  <c r="U30" i="35"/>
  <c r="V13" i="35"/>
  <c r="T13" i="35"/>
  <c r="X13" i="35" s="1"/>
  <c r="U13" i="35"/>
  <c r="I13" i="35"/>
  <c r="V32" i="35"/>
  <c r="T32" i="35"/>
  <c r="X32" i="35" s="1"/>
  <c r="U32" i="35"/>
  <c r="I32" i="35"/>
  <c r="V38" i="35"/>
  <c r="T38" i="35"/>
  <c r="X38" i="35" s="1"/>
  <c r="U38" i="35"/>
  <c r="I38" i="35"/>
  <c r="V19" i="35"/>
  <c r="T19" i="35"/>
  <c r="X19" i="35" s="1"/>
  <c r="I19" i="35"/>
  <c r="U19" i="35"/>
  <c r="V40" i="35"/>
  <c r="T40" i="35"/>
  <c r="X40" i="35" s="1"/>
  <c r="I40" i="35"/>
  <c r="U40" i="35"/>
  <c r="V52" i="35"/>
  <c r="T52" i="35"/>
  <c r="X52" i="35" s="1"/>
  <c r="U52" i="35"/>
  <c r="I52" i="35"/>
  <c r="V42" i="35"/>
  <c r="T42" i="35"/>
  <c r="X42" i="35" s="1"/>
  <c r="I42" i="35"/>
  <c r="U42" i="35"/>
  <c r="V43" i="35"/>
  <c r="T43" i="35"/>
  <c r="X43" i="35" s="1"/>
  <c r="U43" i="35"/>
  <c r="I43" i="35"/>
  <c r="T27" i="35"/>
  <c r="X27" i="35" s="1"/>
  <c r="V27" i="35"/>
  <c r="U27" i="35"/>
  <c r="I27" i="35"/>
  <c r="T47" i="35"/>
  <c r="X47" i="35" s="1"/>
  <c r="V47" i="35"/>
  <c r="U47" i="35"/>
  <c r="I47" i="35"/>
  <c r="V34" i="35"/>
  <c r="T34" i="35"/>
  <c r="X34" i="35" s="1"/>
  <c r="U34" i="35"/>
  <c r="I34" i="35"/>
  <c r="V17" i="35"/>
  <c r="T17" i="35"/>
  <c r="X17" i="35" s="1"/>
  <c r="U17" i="35"/>
  <c r="I17" i="35"/>
  <c r="T48" i="35"/>
  <c r="X48" i="35" s="1"/>
  <c r="V48" i="35"/>
  <c r="U48" i="35"/>
  <c r="I48" i="35"/>
  <c r="V21" i="35"/>
  <c r="T21" i="35"/>
  <c r="X21" i="35" s="1"/>
  <c r="U21" i="35"/>
  <c r="I21" i="35"/>
  <c r="V51" i="35"/>
  <c r="T51" i="35"/>
  <c r="X51" i="35" s="1"/>
  <c r="U51" i="35"/>
  <c r="I51" i="35"/>
  <c r="T28" i="35"/>
  <c r="X28" i="35" s="1"/>
  <c r="V28" i="35"/>
  <c r="U28" i="35"/>
  <c r="I28" i="35"/>
  <c r="V16" i="35"/>
  <c r="T16" i="35"/>
  <c r="X16" i="35" s="1"/>
  <c r="U16" i="35"/>
  <c r="I16" i="35"/>
  <c r="V6" i="35"/>
  <c r="T6" i="35"/>
  <c r="T45" i="35"/>
  <c r="X45" i="35" s="1"/>
  <c r="V45" i="35"/>
  <c r="I45" i="35"/>
  <c r="U45" i="35"/>
  <c r="V50" i="35"/>
  <c r="T50" i="35"/>
  <c r="X50" i="35" s="1"/>
  <c r="I50" i="35"/>
  <c r="U50" i="35"/>
  <c r="T25" i="35"/>
  <c r="X25" i="35" s="1"/>
  <c r="V25" i="35"/>
  <c r="I25" i="35"/>
  <c r="U25" i="35"/>
  <c r="T29" i="35"/>
  <c r="X29" i="35" s="1"/>
  <c r="V29" i="35"/>
  <c r="U29" i="35"/>
  <c r="I29" i="35"/>
  <c r="V9" i="35"/>
  <c r="T9" i="35"/>
  <c r="X9" i="35" s="1"/>
  <c r="U9" i="35"/>
  <c r="I9" i="35"/>
  <c r="V11" i="35"/>
  <c r="T11" i="35"/>
  <c r="X11" i="35" s="1"/>
  <c r="U11" i="35"/>
  <c r="I11" i="35"/>
  <c r="T20" i="35"/>
  <c r="X20" i="35" s="1"/>
  <c r="V20" i="35"/>
  <c r="U20" i="35"/>
  <c r="I20" i="35"/>
  <c r="V15" i="35"/>
  <c r="T15" i="35"/>
  <c r="X15" i="35" s="1"/>
  <c r="I15" i="35"/>
  <c r="U15" i="35"/>
  <c r="T18" i="35"/>
  <c r="X18" i="35" s="1"/>
  <c r="V18" i="35"/>
  <c r="U18" i="35"/>
  <c r="I18" i="35"/>
  <c r="T26" i="35"/>
  <c r="X26" i="35" s="1"/>
  <c r="V26" i="35"/>
  <c r="U26" i="35"/>
  <c r="I26" i="35"/>
  <c r="U7" i="35"/>
  <c r="T7" i="35"/>
  <c r="X7" i="35" s="1"/>
  <c r="V7" i="35"/>
  <c r="I7" i="35"/>
  <c r="V35" i="35"/>
  <c r="T35" i="35"/>
  <c r="X35" i="35" s="1"/>
  <c r="U35" i="35"/>
  <c r="I35" i="35"/>
  <c r="T22" i="35"/>
  <c r="X22" i="35" s="1"/>
  <c r="V22" i="35"/>
  <c r="U22" i="35"/>
  <c r="I22" i="35"/>
  <c r="V31" i="35"/>
  <c r="T31" i="35"/>
  <c r="U31" i="35"/>
  <c r="T8" i="35"/>
  <c r="X8" i="35" s="1"/>
  <c r="V8" i="35"/>
  <c r="I8" i="35"/>
  <c r="U8" i="35"/>
  <c r="V36" i="35"/>
  <c r="T36" i="35"/>
  <c r="X36" i="35" s="1"/>
  <c r="U36" i="35"/>
  <c r="I36" i="35"/>
  <c r="V23" i="35"/>
  <c r="T23" i="35"/>
  <c r="X23" i="35" s="1"/>
  <c r="U23" i="35"/>
  <c r="I23" i="35"/>
  <c r="AR33" i="35"/>
  <c r="AR14" i="35"/>
  <c r="AR40" i="35"/>
  <c r="AR48" i="35"/>
  <c r="AR51" i="35"/>
  <c r="AR28" i="35"/>
  <c r="AR58" i="35"/>
  <c r="AR16" i="35"/>
  <c r="AR37" i="35"/>
  <c r="AR19" i="35"/>
  <c r="AR47" i="35"/>
  <c r="AR15" i="35"/>
  <c r="AR25" i="35"/>
  <c r="AR56" i="35"/>
  <c r="AR29" i="35"/>
  <c r="AR12" i="35"/>
  <c r="AR52" i="35"/>
  <c r="AR20" i="35"/>
  <c r="AR27" i="35"/>
  <c r="AR21" i="35"/>
  <c r="AR26" i="35"/>
  <c r="AR35" i="35"/>
  <c r="AR22" i="35"/>
  <c r="AR39" i="35"/>
  <c r="AR38" i="35"/>
  <c r="BY59" i="35"/>
  <c r="AR50" i="35"/>
  <c r="AR18" i="35"/>
  <c r="AR36" i="35"/>
  <c r="AR23" i="35"/>
  <c r="AR46" i="35"/>
  <c r="AR57" i="35"/>
  <c r="AR17" i="35"/>
  <c r="AR55" i="35"/>
  <c r="AR24" i="35"/>
  <c r="AR8" i="35"/>
  <c r="AR30" i="35"/>
  <c r="AR11" i="35"/>
  <c r="AR34" i="35"/>
  <c r="AR13" i="35"/>
  <c r="AR6" i="35"/>
  <c r="AR7" i="35"/>
  <c r="AR59" i="35"/>
  <c r="AR31" i="35"/>
  <c r="AR32" i="35"/>
  <c r="AN20" i="35"/>
  <c r="AM23" i="35"/>
  <c r="AM20" i="35"/>
  <c r="AN23" i="35"/>
  <c r="AI20" i="35"/>
  <c r="AJ20" i="35"/>
  <c r="AJ23" i="35"/>
  <c r="AK20" i="35"/>
  <c r="AK23" i="35"/>
  <c r="AL20" i="35"/>
  <c r="AI23" i="35"/>
  <c r="AO23" i="35"/>
  <c r="AO20" i="35"/>
  <c r="AL23" i="35"/>
  <c r="AO35" i="35"/>
  <c r="AL35" i="35"/>
  <c r="AM35" i="35"/>
  <c r="AJ35" i="35"/>
  <c r="AK35" i="35"/>
  <c r="AI35" i="35"/>
  <c r="AN35" i="35"/>
  <c r="AI59" i="35"/>
  <c r="AI57" i="35"/>
  <c r="AI58" i="35"/>
  <c r="F11" i="38"/>
  <c r="F9" i="38"/>
  <c r="F10" i="38"/>
  <c r="F12" i="38"/>
  <c r="F16" i="38"/>
  <c r="F13" i="38"/>
  <c r="BY9" i="35" l="1"/>
  <c r="AR9" i="35"/>
  <c r="BY53" i="35"/>
  <c r="AR53" i="35"/>
  <c r="BY54" i="35"/>
  <c r="AR54" i="35"/>
  <c r="BY22" i="35"/>
  <c r="BY29" i="35"/>
  <c r="BY23" i="35"/>
  <c r="BY32" i="35"/>
  <c r="BY37" i="35"/>
  <c r="BY42" i="35"/>
  <c r="BY47" i="35"/>
  <c r="BY16" i="35"/>
  <c r="BY50" i="35"/>
  <c r="BY25" i="35"/>
  <c r="BY39" i="35"/>
  <c r="BY14" i="35"/>
  <c r="BY46" i="35"/>
  <c r="BY18" i="35"/>
  <c r="BY38" i="35"/>
  <c r="BY55" i="35"/>
  <c r="BY19" i="35"/>
  <c r="BY26" i="35"/>
  <c r="BY40" i="35"/>
  <c r="BY7" i="35"/>
  <c r="BY35" i="35"/>
  <c r="BY52" i="35"/>
  <c r="BY15" i="35"/>
  <c r="BY12" i="35"/>
  <c r="BY56" i="35"/>
  <c r="BY24" i="35"/>
  <c r="BY43" i="35"/>
  <c r="BY20" i="35"/>
  <c r="BY31" i="35"/>
  <c r="BY45" i="35"/>
  <c r="BY8" i="35"/>
  <c r="BY27" i="35"/>
  <c r="BY36" i="35"/>
  <c r="BY57" i="35"/>
  <c r="BY33" i="35"/>
  <c r="BY17" i="35"/>
  <c r="BY30" i="35"/>
  <c r="BY48" i="35"/>
  <c r="BY11" i="35"/>
  <c r="BY21" i="35"/>
  <c r="BY34" i="35"/>
  <c r="BY51" i="35"/>
  <c r="BY13" i="35"/>
  <c r="BY28" i="35"/>
  <c r="BY41" i="35"/>
  <c r="BY58" i="35"/>
  <c r="AE20" i="35"/>
  <c r="AB20" i="35"/>
  <c r="CG23" i="35"/>
  <c r="CA23" i="35"/>
  <c r="AA20" i="35"/>
  <c r="AA23" i="35"/>
  <c r="AC23" i="35"/>
  <c r="AG23" i="35"/>
  <c r="AC20" i="35"/>
  <c r="CD23" i="35"/>
  <c r="AE23" i="35"/>
  <c r="CC23" i="35"/>
  <c r="AF20" i="35"/>
  <c r="AF23" i="35"/>
  <c r="CB23" i="35"/>
  <c r="AD20" i="35"/>
  <c r="AB23" i="35"/>
  <c r="AG20" i="35"/>
  <c r="AD23" i="35"/>
  <c r="CA20" i="35"/>
  <c r="CF23" i="35"/>
  <c r="CE23" i="35"/>
  <c r="AG35" i="35"/>
  <c r="AF35" i="35"/>
  <c r="AD35" i="35"/>
  <c r="AA35" i="35"/>
  <c r="AE35" i="35"/>
  <c r="AB35" i="35"/>
  <c r="AC35" i="35"/>
  <c r="AI48" i="35"/>
  <c r="AI37" i="35"/>
  <c r="CA48" i="35"/>
  <c r="AI18" i="35"/>
  <c r="AJ19" i="35"/>
  <c r="AL19" i="35"/>
  <c r="AN19" i="35"/>
  <c r="AI19" i="35"/>
  <c r="AO19" i="35"/>
  <c r="AK19" i="35"/>
  <c r="AM19" i="35"/>
  <c r="Z57" i="35"/>
  <c r="BZ57" i="35"/>
  <c r="BZ59" i="35"/>
  <c r="BZ58" i="35"/>
  <c r="Z59" i="35"/>
  <c r="Z58" i="35"/>
  <c r="F17" i="38"/>
  <c r="CA2" i="35" l="1"/>
  <c r="AJ2" i="35"/>
  <c r="CB20" i="35"/>
  <c r="CA35" i="35"/>
  <c r="CB35" i="35"/>
  <c r="CB18" i="35"/>
  <c r="AJ49" i="35"/>
  <c r="AG18" i="35"/>
  <c r="CA37" i="35"/>
  <c r="AF18" i="35"/>
  <c r="AD18" i="35"/>
  <c r="AE37" i="35"/>
  <c r="CA18" i="35"/>
  <c r="AG37" i="35"/>
  <c r="CB37" i="35"/>
  <c r="AC48" i="35"/>
  <c r="AG48" i="35"/>
  <c r="AA18" i="35"/>
  <c r="AA37" i="35"/>
  <c r="AJ18" i="35"/>
  <c r="AC18" i="35"/>
  <c r="AF48" i="35"/>
  <c r="AD37" i="35"/>
  <c r="CB49" i="35"/>
  <c r="AF37" i="35"/>
  <c r="AJ48" i="35"/>
  <c r="AE18" i="35"/>
  <c r="AJ37" i="35"/>
  <c r="AC37" i="35"/>
  <c r="CB48" i="35"/>
  <c r="AB48" i="35"/>
  <c r="AB37" i="35"/>
  <c r="AE48" i="35"/>
  <c r="AD48" i="35"/>
  <c r="AB18" i="35"/>
  <c r="AA48" i="35"/>
  <c r="AC19" i="35"/>
  <c r="AB19" i="35"/>
  <c r="AE19" i="35"/>
  <c r="CB19" i="35"/>
  <c r="AA19" i="35"/>
  <c r="AD19" i="35"/>
  <c r="AF19" i="35"/>
  <c r="AG19" i="35"/>
  <c r="CA19" i="35"/>
  <c r="AD57" i="35"/>
  <c r="CB57" i="35"/>
  <c r="AB59" i="35"/>
  <c r="CA57" i="35"/>
  <c r="AB57" i="35"/>
  <c r="AC57" i="35"/>
  <c r="AF57" i="35"/>
  <c r="AE58" i="35"/>
  <c r="AC59" i="35"/>
  <c r="CA58" i="35"/>
  <c r="AA57" i="35"/>
  <c r="AD59" i="35"/>
  <c r="AE59" i="35"/>
  <c r="AF58" i="35"/>
  <c r="CA59" i="35"/>
  <c r="AE57" i="35"/>
  <c r="AF59" i="35"/>
  <c r="AA59" i="35"/>
  <c r="AC58" i="35"/>
  <c r="AA58" i="35"/>
  <c r="AG58" i="35"/>
  <c r="AG59" i="35"/>
  <c r="AG57" i="35"/>
  <c r="AD58" i="35"/>
  <c r="AB58" i="35"/>
  <c r="CB44" i="35"/>
  <c r="AK2" i="35" l="1"/>
  <c r="CB2" i="35"/>
  <c r="CC20" i="35"/>
  <c r="CC35" i="35"/>
  <c r="AK18" i="35"/>
  <c r="AK37" i="35"/>
  <c r="CC37" i="35"/>
  <c r="CC48" i="35"/>
  <c r="CC18" i="35"/>
  <c r="AK48" i="35"/>
  <c r="AK49" i="35"/>
  <c r="CC49" i="35"/>
  <c r="CC19" i="35"/>
  <c r="AJ58" i="35"/>
  <c r="CC59" i="35"/>
  <c r="CC58" i="35"/>
  <c r="AK57" i="35"/>
  <c r="AJ57" i="35"/>
  <c r="AJ44" i="35"/>
  <c r="CB59" i="35"/>
  <c r="AK44" i="35"/>
  <c r="AK59" i="35"/>
  <c r="AK58" i="35"/>
  <c r="AJ59" i="35"/>
  <c r="CB58" i="35"/>
  <c r="CC57" i="35"/>
  <c r="CC44" i="35"/>
  <c r="W6" i="35" l="1"/>
  <c r="I6" i="35" s="1"/>
  <c r="BY6" i="35"/>
  <c r="CC2" i="35"/>
  <c r="AL2" i="35"/>
  <c r="CD35" i="35"/>
  <c r="AL37" i="35"/>
  <c r="CD37" i="35"/>
  <c r="AL48" i="35"/>
  <c r="CD48" i="35"/>
  <c r="CD49" i="35"/>
  <c r="CD18" i="35"/>
  <c r="AL49" i="35"/>
  <c r="AL18" i="35"/>
  <c r="AL44" i="35"/>
  <c r="AL58" i="35"/>
  <c r="AL57" i="35"/>
  <c r="AL59" i="35"/>
  <c r="CD44" i="35"/>
  <c r="BI43" i="35" l="1"/>
  <c r="X6" i="35"/>
  <c r="AS12" i="35"/>
  <c r="AS57" i="35"/>
  <c r="AS41" i="35"/>
  <c r="AS18" i="35"/>
  <c r="AS59" i="35"/>
  <c r="AS50" i="35"/>
  <c r="AS17" i="35"/>
  <c r="AS49" i="35"/>
  <c r="AS6" i="35"/>
  <c r="AS51" i="35"/>
  <c r="AS56" i="35"/>
  <c r="AS13" i="35"/>
  <c r="AS58" i="35"/>
  <c r="AS9" i="35"/>
  <c r="AS22" i="35"/>
  <c r="AS15" i="35"/>
  <c r="AS23" i="35"/>
  <c r="AS38" i="35"/>
  <c r="AS31" i="35"/>
  <c r="AS19" i="35"/>
  <c r="AS37" i="35"/>
  <c r="AS53" i="35"/>
  <c r="AS45" i="35"/>
  <c r="AS10" i="35"/>
  <c r="AS16" i="35"/>
  <c r="AS29" i="35"/>
  <c r="AS46" i="35"/>
  <c r="AS40" i="35"/>
  <c r="AS35" i="35"/>
  <c r="AS14" i="35"/>
  <c r="AS25" i="35"/>
  <c r="AS33" i="35"/>
  <c r="AS8" i="35"/>
  <c r="AS44" i="35"/>
  <c r="AS55" i="35"/>
  <c r="AS20" i="35"/>
  <c r="AS52" i="35"/>
  <c r="AS24" i="35"/>
  <c r="AS26" i="35"/>
  <c r="AS30" i="35"/>
  <c r="AS21" i="35"/>
  <c r="AS28" i="35"/>
  <c r="AS39" i="35"/>
  <c r="AS27" i="35"/>
  <c r="AS11" i="35"/>
  <c r="AS47" i="35"/>
  <c r="AS54" i="35"/>
  <c r="AS48" i="35"/>
  <c r="AS34" i="35"/>
  <c r="AS43" i="35"/>
  <c r="AS7" i="35"/>
  <c r="AS42" i="35"/>
  <c r="AS36" i="35"/>
  <c r="AS32" i="35"/>
  <c r="CI49" i="35" l="1"/>
  <c r="BA49" i="35"/>
  <c r="CI44" i="35"/>
  <c r="BA44" i="35"/>
  <c r="BI6" i="35"/>
  <c r="BI48" i="35"/>
  <c r="BI13" i="35"/>
  <c r="BI19" i="35"/>
  <c r="BI55" i="35"/>
  <c r="BI39" i="35"/>
  <c r="BI40" i="35"/>
  <c r="BI41" i="35"/>
  <c r="BI18" i="35"/>
  <c r="BI27" i="35"/>
  <c r="BI50" i="35"/>
  <c r="BI30" i="35"/>
  <c r="BI45" i="35"/>
  <c r="BI32" i="35"/>
  <c r="BI54" i="35"/>
  <c r="BI28" i="35"/>
  <c r="BI33" i="35"/>
  <c r="BI35" i="35"/>
  <c r="BI31" i="35"/>
  <c r="BI29" i="35"/>
  <c r="BI52" i="35"/>
  <c r="BI56" i="35"/>
  <c r="BI23" i="35"/>
  <c r="BI16" i="35"/>
  <c r="BI47" i="35"/>
  <c r="BI36" i="35"/>
  <c r="BI20" i="35"/>
  <c r="BI53" i="35"/>
  <c r="BI25" i="35"/>
  <c r="BI58" i="35"/>
  <c r="BI14" i="35"/>
  <c r="BI37" i="35"/>
  <c r="BI22" i="35"/>
  <c r="BI24" i="35"/>
  <c r="BI38" i="35"/>
  <c r="BI42" i="35"/>
  <c r="BI46" i="35"/>
  <c r="BI34" i="35"/>
  <c r="BI26" i="35"/>
  <c r="BI59" i="35"/>
  <c r="BI51" i="35"/>
  <c r="BI15" i="35"/>
  <c r="BI11" i="35"/>
  <c r="BI21" i="35"/>
  <c r="BI57" i="35"/>
  <c r="BA48" i="35"/>
  <c r="BA19" i="35"/>
  <c r="BA18" i="35"/>
  <c r="BA35" i="35"/>
  <c r="BA23" i="35"/>
  <c r="BA20" i="35"/>
  <c r="BA58" i="35"/>
  <c r="BA37" i="35"/>
  <c r="BA59" i="35"/>
  <c r="BA57" i="35"/>
  <c r="CI35" i="35"/>
  <c r="CI19" i="35"/>
  <c r="CI57" i="35"/>
  <c r="CI48" i="35"/>
  <c r="U6" i="35"/>
  <c r="CD20" i="35"/>
  <c r="CD19" i="35"/>
  <c r="CD57" i="35"/>
  <c r="CD59" i="35"/>
  <c r="CD58" i="35"/>
  <c r="CI20" i="35" l="1"/>
  <c r="CI23" i="35"/>
  <c r="CI59" i="35"/>
  <c r="CI37" i="35"/>
  <c r="CI58" i="35"/>
  <c r="BQ2" i="35"/>
  <c r="AT2" i="35"/>
  <c r="AT19" i="35"/>
  <c r="G14" i="38"/>
  <c r="G13" i="38"/>
  <c r="BQ37" i="35"/>
  <c r="G12" i="38"/>
  <c r="AT29" i="35"/>
  <c r="AT15" i="35"/>
  <c r="AT56" i="35"/>
  <c r="G9" i="38"/>
  <c r="AT28" i="35"/>
  <c r="BQ49" i="35"/>
  <c r="G15" i="38"/>
  <c r="G10" i="38"/>
  <c r="G17" i="38"/>
  <c r="AT10" i="35"/>
  <c r="BQ35" i="35"/>
  <c r="AT46" i="35"/>
  <c r="G16" i="38"/>
  <c r="AT36" i="35"/>
  <c r="AT42" i="35"/>
  <c r="BQ20" i="35"/>
  <c r="BQ23" i="35"/>
  <c r="AT49" i="35"/>
  <c r="BQ59" i="35"/>
  <c r="AT57" i="35"/>
  <c r="BQ58" i="35"/>
  <c r="G11" i="38"/>
  <c r="CJ49" i="35" l="1"/>
  <c r="BB49" i="35"/>
  <c r="CQ2" i="35"/>
  <c r="AT24" i="35"/>
  <c r="AT6" i="35"/>
  <c r="AT45" i="35"/>
  <c r="AT47" i="35"/>
  <c r="AT39" i="35"/>
  <c r="AT48" i="35"/>
  <c r="AT38" i="35"/>
  <c r="BQ48" i="35"/>
  <c r="AT32" i="35"/>
  <c r="AT40" i="35"/>
  <c r="AT7" i="35"/>
  <c r="AT13" i="35"/>
  <c r="AT27" i="35"/>
  <c r="CQ44" i="35"/>
  <c r="AT9" i="35"/>
  <c r="AT41" i="35"/>
  <c r="AT58" i="35"/>
  <c r="AT17" i="35"/>
  <c r="AT26" i="35"/>
  <c r="AT44" i="35"/>
  <c r="AT54" i="35"/>
  <c r="AT31" i="35"/>
  <c r="AT22" i="35"/>
  <c r="AT33" i="35"/>
  <c r="AT52" i="35"/>
  <c r="AT23" i="35"/>
  <c r="AT37" i="35"/>
  <c r="AT18" i="35"/>
  <c r="AT30" i="35"/>
  <c r="AT14" i="35"/>
  <c r="AT50" i="35"/>
  <c r="AT55" i="35"/>
  <c r="BQ57" i="35"/>
  <c r="BQ44" i="35"/>
  <c r="AT25" i="35"/>
  <c r="AT34" i="35"/>
  <c r="AT12" i="35"/>
  <c r="AT51" i="35"/>
  <c r="AT21" i="35"/>
  <c r="AT11" i="35"/>
  <c r="AT8" i="35"/>
  <c r="AT20" i="35"/>
  <c r="AT59" i="35"/>
  <c r="BQ18" i="35"/>
  <c r="AT35" i="35"/>
  <c r="BQ19" i="35"/>
  <c r="AT43" i="35"/>
  <c r="AT16" i="35"/>
  <c r="AT53" i="35"/>
  <c r="CQ49" i="35"/>
  <c r="CJ44" i="35" l="1"/>
  <c r="BB44" i="35"/>
  <c r="BJ20" i="35"/>
  <c r="BJ52" i="35"/>
  <c r="BJ51" i="35"/>
  <c r="BJ36" i="35"/>
  <c r="BJ47" i="35"/>
  <c r="BJ43" i="35"/>
  <c r="BJ48" i="35"/>
  <c r="BJ29" i="35"/>
  <c r="BJ37" i="35"/>
  <c r="BJ33" i="35"/>
  <c r="BJ13" i="35"/>
  <c r="BJ30" i="35"/>
  <c r="BJ55" i="35"/>
  <c r="BJ15" i="35"/>
  <c r="BJ54" i="35"/>
  <c r="BJ26" i="35"/>
  <c r="BJ19" i="35"/>
  <c r="BJ39" i="35"/>
  <c r="BJ34" i="35"/>
  <c r="BJ21" i="35"/>
  <c r="BJ46" i="35"/>
  <c r="BJ38" i="35"/>
  <c r="BJ59" i="35"/>
  <c r="BJ41" i="35"/>
  <c r="BJ40" i="35"/>
  <c r="BJ16" i="35"/>
  <c r="BJ11" i="35"/>
  <c r="BJ25" i="35"/>
  <c r="BJ57" i="35"/>
  <c r="BJ32" i="35"/>
  <c r="BJ53" i="35"/>
  <c r="BJ22" i="35"/>
  <c r="BJ42" i="35"/>
  <c r="BJ56" i="35"/>
  <c r="BJ35" i="35"/>
  <c r="BJ58" i="35"/>
  <c r="BJ23" i="35"/>
  <c r="BJ31" i="35"/>
  <c r="BJ50" i="35"/>
  <c r="BJ28" i="35"/>
  <c r="BJ14" i="35"/>
  <c r="BJ45" i="35"/>
  <c r="BJ18" i="35"/>
  <c r="BJ27" i="35"/>
  <c r="BJ24" i="35"/>
  <c r="BJ6" i="35"/>
  <c r="BB20" i="35"/>
  <c r="BB48" i="35"/>
  <c r="BB37" i="35"/>
  <c r="BB19" i="35"/>
  <c r="BB59" i="35"/>
  <c r="BB57" i="35"/>
  <c r="BB35" i="35"/>
  <c r="BB58" i="35"/>
  <c r="BB23" i="35"/>
  <c r="BB18" i="35"/>
  <c r="CJ19" i="35"/>
  <c r="CJ35" i="35"/>
  <c r="CJ48" i="35"/>
  <c r="CJ57" i="35"/>
  <c r="CJ37" i="35"/>
  <c r="AU2" i="35"/>
  <c r="BR2" i="35"/>
  <c r="AU13" i="35"/>
  <c r="AU35" i="35"/>
  <c r="AU19" i="35"/>
  <c r="AU55" i="35"/>
  <c r="H17" i="38"/>
  <c r="AU8" i="35"/>
  <c r="H10" i="38"/>
  <c r="H16" i="38"/>
  <c r="AU58" i="35"/>
  <c r="AU31" i="35"/>
  <c r="AU16" i="35"/>
  <c r="AU12" i="35"/>
  <c r="BR48" i="35"/>
  <c r="AU46" i="35"/>
  <c r="AU25" i="35"/>
  <c r="AU37" i="35"/>
  <c r="AU49" i="35"/>
  <c r="BR23" i="35"/>
  <c r="AU20" i="35"/>
  <c r="AU28" i="35"/>
  <c r="H15" i="38"/>
  <c r="AU21" i="35"/>
  <c r="AU47" i="35"/>
  <c r="AU30" i="35"/>
  <c r="AU48" i="35"/>
  <c r="AU32" i="35"/>
  <c r="AU57" i="35"/>
  <c r="AU23" i="35"/>
  <c r="AU53" i="35"/>
  <c r="AU14" i="35"/>
  <c r="AU51" i="35"/>
  <c r="H14" i="38"/>
  <c r="H13" i="38"/>
  <c r="AU40" i="35"/>
  <c r="AU50" i="35"/>
  <c r="AU52" i="35"/>
  <c r="AU18" i="35"/>
  <c r="AU6" i="35"/>
  <c r="AU56" i="35"/>
  <c r="BR37" i="35"/>
  <c r="H11" i="38"/>
  <c r="CK49" i="35" l="1"/>
  <c r="BC49" i="35"/>
  <c r="BK46" i="35"/>
  <c r="BK37" i="35"/>
  <c r="BK29" i="35"/>
  <c r="BK40" i="35"/>
  <c r="BK28" i="35"/>
  <c r="BK26" i="35"/>
  <c r="BK31" i="35"/>
  <c r="BK14" i="35"/>
  <c r="BK15" i="35"/>
  <c r="BK59" i="35"/>
  <c r="BK51" i="35"/>
  <c r="BK48" i="35"/>
  <c r="BK25" i="35"/>
  <c r="BK38" i="35"/>
  <c r="BK47" i="35"/>
  <c r="BK35" i="35"/>
  <c r="BK30" i="35"/>
  <c r="BK13" i="35"/>
  <c r="BK21" i="35"/>
  <c r="BK16" i="35"/>
  <c r="BK55" i="35"/>
  <c r="BK45" i="35"/>
  <c r="BK24" i="35"/>
  <c r="BK22" i="35"/>
  <c r="BK52" i="35"/>
  <c r="BK23" i="35"/>
  <c r="BK54" i="35"/>
  <c r="BK34" i="35"/>
  <c r="BK11" i="35"/>
  <c r="BK19" i="35"/>
  <c r="BK20" i="35"/>
  <c r="BK36" i="35"/>
  <c r="BK50" i="35"/>
  <c r="BK53" i="35"/>
  <c r="BK39" i="35"/>
  <c r="BK32" i="35"/>
  <c r="BK41" i="35"/>
  <c r="BK58" i="35"/>
  <c r="BK42" i="35"/>
  <c r="BK43" i="35"/>
  <c r="BK18" i="35"/>
  <c r="BK57" i="35"/>
  <c r="BK27" i="35"/>
  <c r="BK33" i="35"/>
  <c r="BK56" i="35"/>
  <c r="BK6" i="35"/>
  <c r="BC37" i="35"/>
  <c r="BC48" i="35"/>
  <c r="BC35" i="35"/>
  <c r="BC23" i="35"/>
  <c r="BC19" i="35"/>
  <c r="BC20" i="35"/>
  <c r="BC58" i="35"/>
  <c r="BC18" i="35"/>
  <c r="BC57" i="35"/>
  <c r="CK19" i="35"/>
  <c r="CK35" i="35"/>
  <c r="CK48" i="35"/>
  <c r="CK57" i="35"/>
  <c r="AV2" i="35"/>
  <c r="BR19" i="35"/>
  <c r="AV30" i="35"/>
  <c r="AV21" i="35"/>
  <c r="BR35" i="35"/>
  <c r="AV41" i="35"/>
  <c r="AV52" i="35"/>
  <c r="BR18" i="35"/>
  <c r="AV24" i="35"/>
  <c r="AU17" i="35"/>
  <c r="AU11" i="35"/>
  <c r="H9" i="38"/>
  <c r="BR57" i="35"/>
  <c r="AU10" i="35"/>
  <c r="AU45" i="35"/>
  <c r="AU38" i="35"/>
  <c r="AV49" i="35"/>
  <c r="AU39" i="35"/>
  <c r="I16" i="38"/>
  <c r="AV16" i="35"/>
  <c r="AU59" i="35"/>
  <c r="AU42" i="35"/>
  <c r="I13" i="38"/>
  <c r="AV10" i="35"/>
  <c r="BR59" i="35"/>
  <c r="AU9" i="35"/>
  <c r="BR49" i="35"/>
  <c r="AU22" i="35"/>
  <c r="H12" i="38"/>
  <c r="AU43" i="35"/>
  <c r="BR20" i="35"/>
  <c r="AV17" i="35"/>
  <c r="AU34" i="35"/>
  <c r="AV32" i="35"/>
  <c r="AU7" i="35"/>
  <c r="AV44" i="35"/>
  <c r="AV9" i="35"/>
  <c r="AV40" i="35"/>
  <c r="AU15" i="35"/>
  <c r="AV45" i="35"/>
  <c r="AV33" i="35"/>
  <c r="AU33" i="35"/>
  <c r="AV38" i="35"/>
  <c r="AV37" i="35"/>
  <c r="BR44" i="35"/>
  <c r="AU44" i="35"/>
  <c r="AU24" i="35"/>
  <c r="AU27" i="35"/>
  <c r="AU54" i="35"/>
  <c r="AU29" i="35"/>
  <c r="AU41" i="35"/>
  <c r="AU26" i="35"/>
  <c r="AU36" i="35"/>
  <c r="AV14" i="35"/>
  <c r="I14" i="38"/>
  <c r="AV58" i="35"/>
  <c r="AV18" i="35"/>
  <c r="BR58" i="35"/>
  <c r="AV46" i="35"/>
  <c r="AV34" i="35"/>
  <c r="AV23" i="35"/>
  <c r="CK44" i="35" l="1"/>
  <c r="BC44" i="35"/>
  <c r="BC59" i="35"/>
  <c r="CL49" i="35"/>
  <c r="BD49" i="35"/>
  <c r="CL44" i="35"/>
  <c r="BD44" i="35"/>
  <c r="BL20" i="35"/>
  <c r="BL53" i="35"/>
  <c r="BL34" i="35"/>
  <c r="BL45" i="35"/>
  <c r="BL55" i="35"/>
  <c r="BL21" i="35"/>
  <c r="BL24" i="35"/>
  <c r="BL38" i="35"/>
  <c r="BL19" i="35"/>
  <c r="BL51" i="35"/>
  <c r="BL15" i="35"/>
  <c r="BL13" i="35"/>
  <c r="BL57" i="35"/>
  <c r="BL32" i="35"/>
  <c r="BL14" i="35"/>
  <c r="BL18" i="35"/>
  <c r="BL22" i="35"/>
  <c r="BL40" i="35"/>
  <c r="BL52" i="35"/>
  <c r="BL26" i="35"/>
  <c r="BL48" i="35"/>
  <c r="BL50" i="35"/>
  <c r="BL28" i="35"/>
  <c r="BL46" i="35"/>
  <c r="BL11" i="35"/>
  <c r="BL33" i="35"/>
  <c r="BL25" i="35"/>
  <c r="BL31" i="35"/>
  <c r="BL36" i="35"/>
  <c r="BL35" i="35"/>
  <c r="BL47" i="35"/>
  <c r="BL41" i="35"/>
  <c r="BL27" i="35"/>
  <c r="BL56" i="35"/>
  <c r="BL37" i="35"/>
  <c r="BL59" i="35"/>
  <c r="BL54" i="35"/>
  <c r="BL16" i="35"/>
  <c r="BL42" i="35"/>
  <c r="BL29" i="35"/>
  <c r="BL39" i="35"/>
  <c r="BL58" i="35"/>
  <c r="BL43" i="35"/>
  <c r="BL30" i="35"/>
  <c r="BL23" i="35"/>
  <c r="BL6" i="35"/>
  <c r="BD23" i="35"/>
  <c r="BD18" i="35"/>
  <c r="BD58" i="35"/>
  <c r="BD37" i="35"/>
  <c r="CJ20" i="35"/>
  <c r="CJ58" i="35"/>
  <c r="CJ23" i="35"/>
  <c r="CJ59" i="35"/>
  <c r="AW2" i="35"/>
  <c r="CR2" i="35"/>
  <c r="AM2" i="35"/>
  <c r="CD2" i="35"/>
  <c r="BS2" i="35"/>
  <c r="D153" i="13"/>
  <c r="D152" i="13"/>
  <c r="D151" i="13"/>
  <c r="D150" i="13"/>
  <c r="D149" i="13"/>
  <c r="G145" i="13"/>
  <c r="D145" i="13"/>
  <c r="D96" i="12"/>
  <c r="D95" i="12"/>
  <c r="D94" i="12"/>
  <c r="D93" i="12"/>
  <c r="D92" i="12"/>
  <c r="G88" i="12"/>
  <c r="D88" i="12"/>
  <c r="D194" i="7"/>
  <c r="D193" i="7"/>
  <c r="D192" i="7"/>
  <c r="D191" i="7"/>
  <c r="D190" i="7"/>
  <c r="G186" i="7"/>
  <c r="D186" i="7"/>
  <c r="D138" i="18"/>
  <c r="D137" i="18"/>
  <c r="D136" i="18"/>
  <c r="D135" i="18"/>
  <c r="D134" i="18"/>
  <c r="G130" i="18"/>
  <c r="D130" i="18"/>
  <c r="D390" i="24"/>
  <c r="D389" i="24"/>
  <c r="D388" i="24"/>
  <c r="D387" i="24"/>
  <c r="D386" i="24"/>
  <c r="G382" i="24"/>
  <c r="D382" i="24"/>
  <c r="D376" i="24"/>
  <c r="D375" i="24"/>
  <c r="D374" i="24"/>
  <c r="D373" i="24"/>
  <c r="D372" i="24"/>
  <c r="G368" i="24"/>
  <c r="D368" i="24"/>
  <c r="D362" i="24"/>
  <c r="D361" i="24"/>
  <c r="D360" i="24"/>
  <c r="D359" i="24"/>
  <c r="D358" i="24"/>
  <c r="G354" i="24"/>
  <c r="D354" i="24"/>
  <c r="D334" i="24"/>
  <c r="D333" i="24"/>
  <c r="D332" i="24"/>
  <c r="D331" i="24"/>
  <c r="D330" i="24"/>
  <c r="G326" i="24"/>
  <c r="D326" i="24"/>
  <c r="D320" i="24"/>
  <c r="D319" i="24"/>
  <c r="D318" i="24"/>
  <c r="D317" i="24"/>
  <c r="D316" i="24"/>
  <c r="G312" i="24"/>
  <c r="D312" i="24"/>
  <c r="D306" i="24"/>
  <c r="D305" i="24"/>
  <c r="D304" i="24"/>
  <c r="D303" i="24"/>
  <c r="D302" i="24"/>
  <c r="G298" i="24"/>
  <c r="D298" i="24"/>
  <c r="D292" i="24"/>
  <c r="D291" i="24"/>
  <c r="D290" i="24"/>
  <c r="D289" i="24"/>
  <c r="D288" i="24"/>
  <c r="G284" i="24"/>
  <c r="D284" i="24"/>
  <c r="D264" i="24"/>
  <c r="D263" i="24"/>
  <c r="D262" i="24"/>
  <c r="D261" i="24"/>
  <c r="D260" i="24"/>
  <c r="G256" i="24"/>
  <c r="D256" i="24"/>
  <c r="D250" i="24"/>
  <c r="D249" i="24"/>
  <c r="D248" i="24"/>
  <c r="D247" i="24"/>
  <c r="D246" i="24"/>
  <c r="G242" i="24"/>
  <c r="D242" i="24"/>
  <c r="D236" i="24"/>
  <c r="D235" i="24"/>
  <c r="D234" i="24"/>
  <c r="D233" i="24"/>
  <c r="D232" i="24"/>
  <c r="G228" i="24"/>
  <c r="D228" i="24"/>
  <c r="D222" i="24"/>
  <c r="D221" i="24"/>
  <c r="D220" i="24"/>
  <c r="D219" i="24"/>
  <c r="D218" i="24"/>
  <c r="G214" i="24"/>
  <c r="D214" i="24"/>
  <c r="D194" i="24"/>
  <c r="D193" i="24"/>
  <c r="D192" i="24"/>
  <c r="D191" i="24"/>
  <c r="D190" i="24"/>
  <c r="G186" i="24"/>
  <c r="D186" i="24"/>
  <c r="D180" i="24"/>
  <c r="D179" i="24"/>
  <c r="D178" i="24"/>
  <c r="D177" i="24"/>
  <c r="D176" i="24"/>
  <c r="G172" i="24"/>
  <c r="D172" i="24"/>
  <c r="CE35" i="35"/>
  <c r="AM49" i="35"/>
  <c r="AM48" i="35"/>
  <c r="AM18" i="35"/>
  <c r="AM37" i="35"/>
  <c r="CE48" i="35"/>
  <c r="CE18" i="35"/>
  <c r="CE37" i="35"/>
  <c r="CE49" i="35"/>
  <c r="I11" i="38"/>
  <c r="AV39" i="35"/>
  <c r="AV26" i="35"/>
  <c r="AV50" i="35"/>
  <c r="AV31" i="35"/>
  <c r="AV13" i="35"/>
  <c r="AV11" i="35"/>
  <c r="AV22" i="35"/>
  <c r="AW46" i="35"/>
  <c r="AW20" i="35"/>
  <c r="BS19" i="35"/>
  <c r="AW25" i="35"/>
  <c r="AW27" i="35"/>
  <c r="CR44" i="35"/>
  <c r="J16" i="38"/>
  <c r="AW35" i="35"/>
  <c r="BS59" i="35"/>
  <c r="AW26" i="35"/>
  <c r="CE44" i="35"/>
  <c r="AW32" i="35"/>
  <c r="AW13" i="35"/>
  <c r="AW51" i="35"/>
  <c r="BS20" i="35"/>
  <c r="AW45" i="35"/>
  <c r="AW41" i="35"/>
  <c r="BS57" i="35"/>
  <c r="AW21" i="35"/>
  <c r="AV7" i="35"/>
  <c r="AV28" i="35"/>
  <c r="AV8" i="35"/>
  <c r="AV51" i="35"/>
  <c r="AW31" i="35"/>
  <c r="AW11" i="35"/>
  <c r="AW50" i="35"/>
  <c r="BS48" i="35"/>
  <c r="AW49" i="35"/>
  <c r="AW9" i="35"/>
  <c r="AW8" i="35"/>
  <c r="AW18" i="35"/>
  <c r="AM58" i="35"/>
  <c r="BS44" i="35"/>
  <c r="J15" i="38"/>
  <c r="AV56" i="35"/>
  <c r="I15" i="38"/>
  <c r="AV35" i="35"/>
  <c r="I9" i="38"/>
  <c r="AV43" i="35"/>
  <c r="AW42" i="35"/>
  <c r="AW28" i="35"/>
  <c r="AW55" i="35"/>
  <c r="BS35" i="35"/>
  <c r="J10" i="38"/>
  <c r="BS23" i="35"/>
  <c r="AW12" i="35"/>
  <c r="BS58" i="35"/>
  <c r="AW30" i="35"/>
  <c r="AW15" i="35"/>
  <c r="BS37" i="35"/>
  <c r="AW57" i="35"/>
  <c r="J13" i="38"/>
  <c r="J11" i="38"/>
  <c r="AW52" i="35"/>
  <c r="AM59" i="35"/>
  <c r="AW24" i="35"/>
  <c r="AW36" i="35"/>
  <c r="AV15" i="35"/>
  <c r="AV42" i="35"/>
  <c r="I10" i="38"/>
  <c r="AV36" i="35"/>
  <c r="AV20" i="35"/>
  <c r="J9" i="38"/>
  <c r="AW10" i="35"/>
  <c r="AW47" i="35"/>
  <c r="J14" i="38"/>
  <c r="AW14" i="35"/>
  <c r="AW7" i="35"/>
  <c r="AW48" i="35"/>
  <c r="AW58" i="35"/>
  <c r="BS49" i="35"/>
  <c r="AW56" i="35"/>
  <c r="AW39" i="35"/>
  <c r="AW23" i="35"/>
  <c r="AW59" i="35"/>
  <c r="AW29" i="35"/>
  <c r="J17" i="38"/>
  <c r="AW38" i="35"/>
  <c r="BS18" i="35"/>
  <c r="AW40" i="35"/>
  <c r="AW6" i="35"/>
  <c r="I17" i="38"/>
  <c r="AV27" i="35"/>
  <c r="I12" i="38"/>
  <c r="AV59" i="35"/>
  <c r="AV53" i="35"/>
  <c r="AV6" i="35"/>
  <c r="AV54" i="35"/>
  <c r="AV19" i="35"/>
  <c r="AV55" i="35"/>
  <c r="AV12" i="35"/>
  <c r="AW16" i="35"/>
  <c r="AW22" i="35"/>
  <c r="AW44" i="35"/>
  <c r="AW54" i="35"/>
  <c r="AW53" i="35"/>
  <c r="AW33" i="35"/>
  <c r="AW17" i="35"/>
  <c r="AW43" i="35"/>
  <c r="AW34" i="35"/>
  <c r="AV47" i="35"/>
  <c r="AV57" i="35"/>
  <c r="AV48" i="35"/>
  <c r="AV29" i="35"/>
  <c r="AV25" i="35"/>
  <c r="AW19" i="35"/>
  <c r="AW37" i="35"/>
  <c r="CR49" i="35"/>
  <c r="J12" i="38"/>
  <c r="AM57" i="35"/>
  <c r="AM44" i="35"/>
  <c r="BD48" i="35" l="1"/>
  <c r="CL48" i="35"/>
  <c r="BD57" i="35"/>
  <c r="CL57" i="35"/>
  <c r="BD19" i="35"/>
  <c r="CL19" i="35"/>
  <c r="BD59" i="35"/>
  <c r="BD20" i="35"/>
  <c r="BD35" i="35"/>
  <c r="CL35" i="35"/>
  <c r="CM49" i="35"/>
  <c r="BE49" i="35"/>
  <c r="CM44" i="35"/>
  <c r="BE44" i="35"/>
  <c r="BM11" i="35"/>
  <c r="BM48" i="35"/>
  <c r="BM39" i="35"/>
  <c r="BM15" i="35"/>
  <c r="BM35" i="35"/>
  <c r="BM27" i="35"/>
  <c r="BM25" i="35"/>
  <c r="BM19" i="35"/>
  <c r="BM22" i="35"/>
  <c r="BM18" i="35"/>
  <c r="BM20" i="35"/>
  <c r="BE20" i="35"/>
  <c r="BE58" i="35"/>
  <c r="BE48" i="35"/>
  <c r="BE18" i="35"/>
  <c r="BE59" i="35"/>
  <c r="BE37" i="35"/>
  <c r="BE57" i="35"/>
  <c r="BE19" i="35"/>
  <c r="BE35" i="35"/>
  <c r="BE23" i="35"/>
  <c r="CM35" i="35"/>
  <c r="CM48" i="35"/>
  <c r="AX2" i="35"/>
  <c r="BM14" i="35"/>
  <c r="BM16" i="35"/>
  <c r="CE20" i="35"/>
  <c r="CE19" i="35"/>
  <c r="AX49" i="35"/>
  <c r="AX10" i="35"/>
  <c r="AX42" i="35"/>
  <c r="AX38" i="35"/>
  <c r="K16" i="38"/>
  <c r="AX24" i="35"/>
  <c r="CE58" i="35"/>
  <c r="AX15" i="35"/>
  <c r="AX8" i="35"/>
  <c r="K11" i="38"/>
  <c r="K13" i="38"/>
  <c r="AX39" i="35"/>
  <c r="AX16" i="35"/>
  <c r="K10" i="38"/>
  <c r="AX58" i="35"/>
  <c r="AX44" i="35"/>
  <c r="CE57" i="35"/>
  <c r="AX34" i="35"/>
  <c r="AX52" i="35"/>
  <c r="BF49" i="35" l="1"/>
  <c r="BF44" i="35"/>
  <c r="BM13" i="35"/>
  <c r="BF58" i="35"/>
  <c r="CM19" i="35"/>
  <c r="CM57" i="35"/>
  <c r="AX40" i="35"/>
  <c r="AX14" i="35"/>
  <c r="AX22" i="35"/>
  <c r="AX11" i="35"/>
  <c r="AX57" i="35"/>
  <c r="AX53" i="35"/>
  <c r="AX25" i="35"/>
  <c r="AX35" i="35"/>
  <c r="AX9" i="35"/>
  <c r="AX51" i="35"/>
  <c r="AX31" i="35"/>
  <c r="AX30" i="35"/>
  <c r="AX12" i="35"/>
  <c r="AX13" i="35"/>
  <c r="K15" i="38"/>
  <c r="AX41" i="35"/>
  <c r="AX56" i="35"/>
  <c r="AX23" i="35"/>
  <c r="AX54" i="35"/>
  <c r="AX47" i="35"/>
  <c r="AX48" i="35"/>
  <c r="AX55" i="35"/>
  <c r="CE59" i="35"/>
  <c r="K12" i="38"/>
  <c r="AX59" i="35"/>
  <c r="AX27" i="35"/>
  <c r="AX33" i="35"/>
  <c r="AX45" i="35"/>
  <c r="AX50" i="35"/>
  <c r="AX26" i="35"/>
  <c r="AX29" i="35"/>
  <c r="AX17" i="35"/>
  <c r="AX7" i="35"/>
  <c r="AX20" i="35"/>
  <c r="AX6" i="35"/>
  <c r="AX32" i="35"/>
  <c r="AX46" i="35"/>
  <c r="AX43" i="35"/>
  <c r="AX21" i="35"/>
  <c r="K14" i="38"/>
  <c r="K9" i="38"/>
  <c r="AX36" i="35"/>
  <c r="AX18" i="35"/>
  <c r="AX19" i="35"/>
  <c r="AX28" i="35"/>
  <c r="AX37" i="35"/>
  <c r="K17" i="38"/>
  <c r="BF37" i="35" l="1"/>
  <c r="BF59" i="35"/>
  <c r="BN48" i="35"/>
  <c r="BM57" i="35"/>
  <c r="BM53" i="35"/>
  <c r="BN11" i="35"/>
  <c r="BF48" i="35"/>
  <c r="BF20" i="35"/>
  <c r="BF23" i="35"/>
  <c r="BF19" i="35"/>
  <c r="BF35" i="35"/>
  <c r="BF18" i="35"/>
  <c r="BF57" i="35"/>
  <c r="AY2" i="35"/>
  <c r="AY41" i="35"/>
  <c r="L16" i="38"/>
  <c r="AY14" i="35"/>
  <c r="AY24" i="35"/>
  <c r="AY16" i="35"/>
  <c r="L9" i="38"/>
  <c r="AY40" i="35"/>
  <c r="L13" i="38"/>
  <c r="AY51" i="35"/>
  <c r="AY49" i="35"/>
  <c r="AY19" i="35"/>
  <c r="AY59" i="35"/>
  <c r="AY35" i="35"/>
  <c r="AY21" i="35"/>
  <c r="AY48" i="35"/>
  <c r="AY44" i="35"/>
  <c r="AY11" i="35"/>
  <c r="AY22" i="35"/>
  <c r="AY52" i="35"/>
  <c r="AY6" i="35"/>
  <c r="AY39" i="35"/>
  <c r="AY55" i="35"/>
  <c r="AY25" i="35"/>
  <c r="AY31" i="35"/>
  <c r="AY54" i="35"/>
  <c r="AY36" i="35"/>
  <c r="L14" i="38"/>
  <c r="AY47" i="35"/>
  <c r="AY15" i="35"/>
  <c r="AY27" i="35"/>
  <c r="AY23" i="35"/>
  <c r="AY9" i="35"/>
  <c r="AY13" i="35"/>
  <c r="AY18" i="35"/>
  <c r="AY7" i="35"/>
  <c r="AY38" i="35"/>
  <c r="L10" i="38"/>
  <c r="AY34" i="35"/>
  <c r="AY45" i="35"/>
  <c r="AY30" i="35"/>
  <c r="AY43" i="35"/>
  <c r="L15" i="38"/>
  <c r="AY32" i="35"/>
  <c r="AY28" i="35"/>
  <c r="AY57" i="35"/>
  <c r="L17" i="38"/>
  <c r="L11" i="38"/>
  <c r="BG49" i="35" l="1"/>
  <c r="BG44" i="35"/>
  <c r="BM51" i="35"/>
  <c r="BO11" i="35"/>
  <c r="BO48" i="35"/>
  <c r="BM32" i="35"/>
  <c r="BG18" i="35"/>
  <c r="BG23" i="35"/>
  <c r="BG35" i="35"/>
  <c r="BG19" i="35"/>
  <c r="BG57" i="35"/>
  <c r="BG59" i="35"/>
  <c r="BG48" i="35"/>
  <c r="BM30" i="35"/>
  <c r="AY46" i="35"/>
  <c r="L12" i="38"/>
  <c r="AY26" i="35"/>
  <c r="AY33" i="35"/>
  <c r="AY53" i="35"/>
  <c r="AY50" i="35"/>
  <c r="AY58" i="35"/>
  <c r="AY56" i="35"/>
  <c r="AY8" i="35"/>
  <c r="AY17" i="35"/>
  <c r="AY12" i="35"/>
  <c r="AY37" i="35"/>
  <c r="AY29" i="35"/>
  <c r="AY20" i="35"/>
  <c r="AY42" i="35"/>
  <c r="AY10" i="35"/>
  <c r="BG20" i="35" l="1"/>
  <c r="BG37" i="35"/>
  <c r="BG58" i="35"/>
  <c r="BM43" i="35"/>
  <c r="BM31" i="35"/>
  <c r="BM24" i="35"/>
  <c r="BM36" i="35"/>
  <c r="BM37" i="35"/>
  <c r="BM56" i="35"/>
  <c r="BM34" i="35"/>
  <c r="BM23" i="35" l="1"/>
  <c r="BM42" i="35"/>
  <c r="BM26" i="35"/>
  <c r="BM46" i="35"/>
  <c r="BM38" i="35"/>
  <c r="BM21" i="35"/>
  <c r="BM6" i="35"/>
  <c r="BM52" i="35"/>
  <c r="CQ35" i="35"/>
  <c r="CQ37" i="35"/>
  <c r="CQ19" i="35"/>
  <c r="CQ48" i="35"/>
  <c r="CQ57" i="35"/>
  <c r="CQ58" i="35"/>
  <c r="CQ20" i="35"/>
  <c r="CQ23" i="35"/>
  <c r="BM28" i="35" l="1"/>
  <c r="BM50" i="35"/>
  <c r="BM29" i="35"/>
  <c r="BM59" i="35"/>
  <c r="BM55" i="35"/>
  <c r="BM41" i="35"/>
  <c r="BM45" i="35"/>
  <c r="BM40" i="35"/>
  <c r="BM47" i="35"/>
  <c r="BM33" i="35"/>
  <c r="BM58" i="35"/>
  <c r="BM54" i="35"/>
  <c r="CK23" i="35"/>
  <c r="CK20" i="35"/>
  <c r="CJ18" i="35"/>
  <c r="CK37" i="35"/>
  <c r="CK18" i="35"/>
  <c r="CI18" i="35"/>
  <c r="CK58" i="35"/>
  <c r="CL18" i="35"/>
  <c r="CK59" i="35"/>
  <c r="CS2" i="35"/>
  <c r="BT2" i="35"/>
  <c r="CE2" i="35"/>
  <c r="AN2" i="35"/>
  <c r="D124" i="18"/>
  <c r="D123" i="18"/>
  <c r="D122" i="18"/>
  <c r="D121" i="18"/>
  <c r="D120" i="18"/>
  <c r="G116" i="18"/>
  <c r="D116" i="18"/>
  <c r="D110" i="18"/>
  <c r="D109" i="18"/>
  <c r="D108" i="18"/>
  <c r="D107" i="18"/>
  <c r="D106" i="18"/>
  <c r="G102" i="18"/>
  <c r="D102" i="18"/>
  <c r="D88" i="18"/>
  <c r="D96" i="18"/>
  <c r="D95" i="18"/>
  <c r="D94" i="18"/>
  <c r="D93" i="18"/>
  <c r="D92" i="18"/>
  <c r="G88" i="18"/>
  <c r="D82" i="18"/>
  <c r="D81" i="18"/>
  <c r="D80" i="18"/>
  <c r="D79" i="18"/>
  <c r="D78" i="18"/>
  <c r="G74" i="18"/>
  <c r="D74" i="18"/>
  <c r="BN18" i="35"/>
  <c r="CF35" i="35"/>
  <c r="CF18" i="35"/>
  <c r="AN49" i="35"/>
  <c r="AN18" i="35"/>
  <c r="CF37" i="35"/>
  <c r="CF49" i="35"/>
  <c r="AN48" i="35"/>
  <c r="CF48" i="35"/>
  <c r="AN37" i="35"/>
  <c r="CS44" i="35"/>
  <c r="BT19" i="35"/>
  <c r="CS49" i="35"/>
  <c r="AN44" i="35"/>
  <c r="CF44" i="35"/>
  <c r="BT20" i="35"/>
  <c r="BT48" i="35"/>
  <c r="AN58" i="35"/>
  <c r="BT58" i="35"/>
  <c r="AN57" i="35"/>
  <c r="AN59" i="35"/>
  <c r="BT35" i="35"/>
  <c r="CN49" i="35" l="1"/>
  <c r="CN44" i="35"/>
  <c r="BN25" i="35"/>
  <c r="BN27" i="35"/>
  <c r="BN22" i="35"/>
  <c r="BN35" i="35"/>
  <c r="CN48" i="35"/>
  <c r="CN35" i="35"/>
  <c r="BN20" i="35"/>
  <c r="BN19" i="35"/>
  <c r="CF20" i="35"/>
  <c r="CF19" i="35"/>
  <c r="BT57" i="35"/>
  <c r="CF59" i="35"/>
  <c r="BT18" i="35"/>
  <c r="BT37" i="35"/>
  <c r="BT59" i="35"/>
  <c r="BT49" i="35"/>
  <c r="CF57" i="35"/>
  <c r="BT44" i="35"/>
  <c r="CF58" i="35"/>
  <c r="BT23" i="35"/>
  <c r="BN39" i="35" l="1"/>
  <c r="BN13" i="35"/>
  <c r="BN15" i="35"/>
  <c r="CN57" i="35"/>
  <c r="CN19" i="35"/>
  <c r="BN14" i="35"/>
  <c r="BN16" i="35"/>
  <c r="BN52" i="35" l="1"/>
  <c r="BN51" i="35" l="1"/>
  <c r="BN40" i="35"/>
  <c r="BN53" i="35"/>
  <c r="BN30" i="35"/>
  <c r="BN26" i="35" l="1"/>
  <c r="BN31" i="35"/>
  <c r="BN57" i="35"/>
  <c r="CQ18" i="35"/>
  <c r="CR37" i="35"/>
  <c r="BN50" i="35" l="1"/>
  <c r="BN46" i="35"/>
  <c r="BN45" i="35"/>
  <c r="BN55" i="35"/>
  <c r="BN41" i="35"/>
  <c r="BN6" i="35"/>
  <c r="CR59" i="35"/>
  <c r="CR48" i="35"/>
  <c r="CR35" i="35"/>
  <c r="CR23" i="35"/>
  <c r="CQ59" i="35"/>
  <c r="CR57" i="35"/>
  <c r="BN28" i="35" l="1"/>
  <c r="BN23" i="35"/>
  <c r="BN42" i="35"/>
  <c r="BN43" i="35"/>
  <c r="BN29" i="35"/>
  <c r="BN36" i="35"/>
  <c r="BN58" i="35"/>
  <c r="BN21" i="35"/>
  <c r="BN32" i="35"/>
  <c r="BN38" i="35"/>
  <c r="CL20" i="35"/>
  <c r="CL58" i="35"/>
  <c r="CR19" i="35"/>
  <c r="CR18" i="35"/>
  <c r="CR58" i="35"/>
  <c r="CR20" i="35"/>
  <c r="BN24" i="35" l="1"/>
  <c r="BN37" i="35"/>
  <c r="BN33" i="35"/>
  <c r="BN56" i="35"/>
  <c r="BN47" i="35"/>
  <c r="BN59" i="35"/>
  <c r="BN54" i="35"/>
  <c r="BN34" i="35"/>
  <c r="CL59" i="35"/>
  <c r="CL23" i="35"/>
  <c r="CL37" i="35"/>
  <c r="AO2" i="35"/>
  <c r="CF2" i="35"/>
  <c r="CT2" i="35"/>
  <c r="BU2" i="35"/>
  <c r="D235" i="23"/>
  <c r="D234" i="23"/>
  <c r="D233" i="23"/>
  <c r="D232" i="23"/>
  <c r="D231" i="23"/>
  <c r="G227" i="23"/>
  <c r="D227" i="23"/>
  <c r="D219" i="23"/>
  <c r="D218" i="23"/>
  <c r="D217" i="23"/>
  <c r="D216" i="23"/>
  <c r="D215" i="23"/>
  <c r="G211" i="23"/>
  <c r="D211" i="23"/>
  <c r="D203" i="23"/>
  <c r="D202" i="23"/>
  <c r="D201" i="23"/>
  <c r="D200" i="23"/>
  <c r="D199" i="23"/>
  <c r="G195" i="23"/>
  <c r="D195" i="23"/>
  <c r="BO18" i="35"/>
  <c r="BO19" i="35"/>
  <c r="BO20" i="35"/>
  <c r="CG35" i="35"/>
  <c r="CG18" i="35"/>
  <c r="CG49" i="35"/>
  <c r="AO37" i="35"/>
  <c r="CG37" i="35"/>
  <c r="CG48" i="35"/>
  <c r="AO48" i="35"/>
  <c r="AO49" i="35"/>
  <c r="AO18" i="35"/>
  <c r="BU57" i="35"/>
  <c r="BU19" i="35"/>
  <c r="BU44" i="35"/>
  <c r="BU18" i="35"/>
  <c r="BU59" i="35"/>
  <c r="CT44" i="35"/>
  <c r="CT49" i="35"/>
  <c r="BU48" i="35"/>
  <c r="BU58" i="35"/>
  <c r="BU37" i="35"/>
  <c r="BU23" i="35"/>
  <c r="BU35" i="35"/>
  <c r="BU20" i="35"/>
  <c r="AO57" i="35"/>
  <c r="BU49" i="35"/>
  <c r="AO58" i="35"/>
  <c r="CO49" i="35" l="1"/>
  <c r="BO25" i="35"/>
  <c r="BO22" i="35"/>
  <c r="BO27" i="35"/>
  <c r="BO15" i="35"/>
  <c r="BO39" i="35"/>
  <c r="BO13" i="35"/>
  <c r="BO35" i="35"/>
  <c r="CO48" i="35"/>
  <c r="CO35" i="35"/>
  <c r="BO14" i="35"/>
  <c r="BO16" i="35"/>
  <c r="CG20" i="35"/>
  <c r="CG19" i="35"/>
  <c r="CG58" i="35"/>
  <c r="CS18" i="35"/>
  <c r="CG44" i="35"/>
  <c r="CG59" i="35"/>
  <c r="CG57" i="35"/>
  <c r="AO59" i="35"/>
  <c r="AO44" i="35"/>
  <c r="CO44" i="35" l="1"/>
  <c r="BO38" i="35"/>
  <c r="CO57" i="35"/>
  <c r="CO19" i="35"/>
  <c r="CS59" i="35"/>
  <c r="BO57" i="35" l="1"/>
  <c r="BO43" i="35" l="1"/>
  <c r="BO37" i="35"/>
  <c r="BO53" i="35"/>
  <c r="BO46" i="35"/>
  <c r="BO52" i="35"/>
  <c r="BO30" i="35"/>
  <c r="CS23" i="35"/>
  <c r="CS57" i="35"/>
  <c r="CS58" i="35"/>
  <c r="CS19" i="35"/>
  <c r="CS20" i="35"/>
  <c r="CS48" i="35"/>
  <c r="CS37" i="35"/>
  <c r="CS35" i="35"/>
  <c r="BO28" i="35" l="1"/>
  <c r="BO42" i="35"/>
  <c r="BO50" i="35"/>
  <c r="BO51" i="35"/>
  <c r="BO29" i="35"/>
  <c r="BO31" i="35"/>
  <c r="BO24" i="35"/>
  <c r="BO26" i="35"/>
  <c r="BO36" i="35"/>
  <c r="BO59" i="35"/>
  <c r="BO45" i="35"/>
  <c r="BO58" i="35"/>
  <c r="BO41" i="35"/>
  <c r="BO21" i="35"/>
  <c r="BO33" i="35"/>
  <c r="BO40" i="35"/>
  <c r="BO56" i="35"/>
  <c r="BO55" i="35"/>
  <c r="BO34" i="35"/>
  <c r="BO6" i="35"/>
  <c r="CM59" i="35"/>
  <c r="CM20" i="35"/>
  <c r="CM58" i="35"/>
  <c r="CM37" i="35"/>
  <c r="CM23" i="35"/>
  <c r="CM18" i="35"/>
  <c r="BO23" i="35" l="1"/>
  <c r="BO32" i="35"/>
  <c r="BO47" i="35"/>
  <c r="BV2" i="35"/>
  <c r="CU2" i="35"/>
  <c r="CG2" i="35"/>
  <c r="BV19" i="35"/>
  <c r="BV23" i="35"/>
  <c r="CT58" i="35"/>
  <c r="CT19" i="35"/>
  <c r="BV18" i="35"/>
  <c r="BV49" i="35"/>
  <c r="CT57" i="35"/>
  <c r="CT35" i="35"/>
  <c r="BV37" i="35"/>
  <c r="CT59" i="35"/>
  <c r="CT20" i="35"/>
  <c r="CT37" i="35"/>
  <c r="CT18" i="35"/>
  <c r="BV58" i="35"/>
  <c r="BV44" i="35"/>
  <c r="BV59" i="35"/>
  <c r="BV20" i="35"/>
  <c r="CT23" i="35"/>
  <c r="CU44" i="35"/>
  <c r="BV57" i="35"/>
  <c r="CT48" i="35"/>
  <c r="BV35" i="35"/>
  <c r="BV48" i="35"/>
  <c r="CU49" i="35"/>
  <c r="BO54" i="35" l="1"/>
  <c r="CN58" i="35"/>
  <c r="CN20" i="35"/>
  <c r="CN59" i="35"/>
  <c r="CN37" i="35"/>
  <c r="CN18" i="35"/>
  <c r="CN23" i="35"/>
  <c r="CV2" i="35"/>
  <c r="BW2" i="35"/>
  <c r="X68" i="18"/>
  <c r="W68" i="18"/>
  <c r="V68" i="18"/>
  <c r="U68" i="18"/>
  <c r="T68" i="18"/>
  <c r="S68" i="18"/>
  <c r="R68" i="18"/>
  <c r="D68" i="18"/>
  <c r="X67" i="18"/>
  <c r="W67" i="18"/>
  <c r="V67" i="18"/>
  <c r="U67" i="18"/>
  <c r="T67" i="18"/>
  <c r="S67" i="18"/>
  <c r="R67" i="18"/>
  <c r="D67" i="18"/>
  <c r="X66" i="18"/>
  <c r="W66" i="18"/>
  <c r="V66" i="18"/>
  <c r="U66" i="18"/>
  <c r="T66" i="18"/>
  <c r="S66" i="18"/>
  <c r="R66" i="18"/>
  <c r="D66" i="18"/>
  <c r="X65" i="18"/>
  <c r="W65" i="18"/>
  <c r="V65" i="18"/>
  <c r="U65" i="18"/>
  <c r="T65" i="18"/>
  <c r="S65" i="18"/>
  <c r="R65" i="18"/>
  <c r="D65" i="18"/>
  <c r="X64" i="18"/>
  <c r="W64" i="18"/>
  <c r="V64" i="18"/>
  <c r="U64" i="18"/>
  <c r="T64" i="18"/>
  <c r="S64" i="18"/>
  <c r="R64" i="18"/>
  <c r="D64" i="18"/>
  <c r="G60" i="18"/>
  <c r="D60" i="18"/>
  <c r="X54" i="18"/>
  <c r="W54" i="18"/>
  <c r="V54" i="18"/>
  <c r="U54" i="18"/>
  <c r="T54" i="18"/>
  <c r="S54" i="18"/>
  <c r="R54" i="18"/>
  <c r="X53" i="18"/>
  <c r="W53" i="18"/>
  <c r="V53" i="18"/>
  <c r="U53" i="18"/>
  <c r="T53" i="18"/>
  <c r="S53" i="18"/>
  <c r="R53" i="18"/>
  <c r="X52" i="18"/>
  <c r="W52" i="18"/>
  <c r="V52" i="18"/>
  <c r="U52" i="18"/>
  <c r="T52" i="18"/>
  <c r="S52" i="18"/>
  <c r="R52" i="18"/>
  <c r="X51" i="18"/>
  <c r="W51" i="18"/>
  <c r="V51" i="18"/>
  <c r="U51" i="18"/>
  <c r="T51" i="18"/>
  <c r="S51" i="18"/>
  <c r="R51" i="18"/>
  <c r="X50" i="18"/>
  <c r="W50" i="18"/>
  <c r="V50" i="18"/>
  <c r="U50" i="18"/>
  <c r="T50" i="18"/>
  <c r="S50" i="18"/>
  <c r="R50" i="18"/>
  <c r="X40" i="18"/>
  <c r="W40" i="18"/>
  <c r="V40" i="18"/>
  <c r="U40" i="18"/>
  <c r="T40" i="18"/>
  <c r="S40" i="18"/>
  <c r="R40" i="18"/>
  <c r="X39" i="18"/>
  <c r="W39" i="18"/>
  <c r="V39" i="18"/>
  <c r="U39" i="18"/>
  <c r="T39" i="18"/>
  <c r="S39" i="18"/>
  <c r="R39" i="18"/>
  <c r="X38" i="18"/>
  <c r="W38" i="18"/>
  <c r="V38" i="18"/>
  <c r="U38" i="18"/>
  <c r="T38" i="18"/>
  <c r="S38" i="18"/>
  <c r="R38" i="18"/>
  <c r="X37" i="18"/>
  <c r="W37" i="18"/>
  <c r="V37" i="18"/>
  <c r="U37" i="18"/>
  <c r="T37" i="18"/>
  <c r="S37" i="18"/>
  <c r="R37" i="18"/>
  <c r="X36" i="18"/>
  <c r="W36" i="18"/>
  <c r="V36" i="18"/>
  <c r="U36" i="18"/>
  <c r="T36" i="18"/>
  <c r="S36" i="18"/>
  <c r="R36" i="18"/>
  <c r="X26" i="18"/>
  <c r="W26" i="18"/>
  <c r="V26" i="18"/>
  <c r="U26" i="18"/>
  <c r="T26" i="18"/>
  <c r="S26" i="18"/>
  <c r="R26" i="18"/>
  <c r="X25" i="18"/>
  <c r="W25" i="18"/>
  <c r="V25" i="18"/>
  <c r="U25" i="18"/>
  <c r="T25" i="18"/>
  <c r="S25" i="18"/>
  <c r="R25" i="18"/>
  <c r="X24" i="18"/>
  <c r="W24" i="18"/>
  <c r="V24" i="18"/>
  <c r="U24" i="18"/>
  <c r="T24" i="18"/>
  <c r="S24" i="18"/>
  <c r="R24" i="18"/>
  <c r="X23" i="18"/>
  <c r="W23" i="18"/>
  <c r="V23" i="18"/>
  <c r="U23" i="18"/>
  <c r="T23" i="18"/>
  <c r="S23" i="18"/>
  <c r="R23" i="18"/>
  <c r="X22" i="18"/>
  <c r="W22" i="18"/>
  <c r="V22" i="18"/>
  <c r="U22" i="18"/>
  <c r="T22" i="18"/>
  <c r="S22" i="18"/>
  <c r="R22" i="18"/>
  <c r="X12" i="18"/>
  <c r="W12" i="18"/>
  <c r="V12" i="18"/>
  <c r="U12" i="18"/>
  <c r="T12" i="18"/>
  <c r="S12" i="18"/>
  <c r="R12" i="18"/>
  <c r="X11" i="18"/>
  <c r="W11" i="18"/>
  <c r="V11" i="18"/>
  <c r="U11" i="18"/>
  <c r="T11" i="18"/>
  <c r="S11" i="18"/>
  <c r="R11" i="18"/>
  <c r="X10" i="18"/>
  <c r="W10" i="18"/>
  <c r="V10" i="18"/>
  <c r="U10" i="18"/>
  <c r="T10" i="18"/>
  <c r="S10" i="18"/>
  <c r="R10" i="18"/>
  <c r="X9" i="18"/>
  <c r="W9" i="18"/>
  <c r="V9" i="18"/>
  <c r="U9" i="18"/>
  <c r="T9" i="18"/>
  <c r="S9" i="18"/>
  <c r="R9" i="18"/>
  <c r="X8" i="18"/>
  <c r="W8" i="18"/>
  <c r="V8" i="18"/>
  <c r="U8" i="18"/>
  <c r="T8" i="18"/>
  <c r="T1" i="18" s="1"/>
  <c r="S8" i="18"/>
  <c r="R8" i="18"/>
  <c r="S158" i="24"/>
  <c r="S144" i="24"/>
  <c r="S130" i="24"/>
  <c r="S116" i="24"/>
  <c r="S102" i="24"/>
  <c r="S88" i="24"/>
  <c r="S74" i="24"/>
  <c r="S60" i="24"/>
  <c r="S46" i="24"/>
  <c r="S32" i="24"/>
  <c r="S18" i="24"/>
  <c r="S4" i="24"/>
  <c r="X210" i="20"/>
  <c r="W210" i="20"/>
  <c r="V210" i="20"/>
  <c r="U210" i="20"/>
  <c r="T210" i="20"/>
  <c r="S210" i="20"/>
  <c r="R210" i="20"/>
  <c r="X209" i="20"/>
  <c r="W209" i="20"/>
  <c r="V209" i="20"/>
  <c r="U209" i="20"/>
  <c r="T209" i="20"/>
  <c r="S209" i="20"/>
  <c r="R209" i="20"/>
  <c r="X208" i="20"/>
  <c r="W208" i="20"/>
  <c r="V208" i="20"/>
  <c r="U208" i="20"/>
  <c r="T208" i="20"/>
  <c r="S208" i="20"/>
  <c r="R208" i="20"/>
  <c r="X207" i="20"/>
  <c r="W207" i="20"/>
  <c r="V207" i="20"/>
  <c r="U207" i="20"/>
  <c r="T207" i="20"/>
  <c r="S207" i="20"/>
  <c r="R207" i="20"/>
  <c r="X206" i="20"/>
  <c r="W206" i="20"/>
  <c r="V206" i="20"/>
  <c r="U206" i="20"/>
  <c r="T206" i="20"/>
  <c r="S206" i="20"/>
  <c r="R206" i="20"/>
  <c r="S202" i="20"/>
  <c r="X196" i="20"/>
  <c r="W196" i="20"/>
  <c r="V196" i="20"/>
  <c r="U196" i="20"/>
  <c r="T196" i="20"/>
  <c r="S196" i="20"/>
  <c r="R196" i="20"/>
  <c r="X195" i="20"/>
  <c r="W195" i="20"/>
  <c r="V195" i="20"/>
  <c r="U195" i="20"/>
  <c r="T195" i="20"/>
  <c r="S195" i="20"/>
  <c r="R195" i="20"/>
  <c r="X194" i="20"/>
  <c r="W194" i="20"/>
  <c r="V194" i="20"/>
  <c r="U194" i="20"/>
  <c r="T194" i="20"/>
  <c r="S194" i="20"/>
  <c r="R194" i="20"/>
  <c r="X193" i="20"/>
  <c r="W193" i="20"/>
  <c r="V193" i="20"/>
  <c r="U193" i="20"/>
  <c r="T193" i="20"/>
  <c r="S193" i="20"/>
  <c r="R193" i="20"/>
  <c r="X192" i="20"/>
  <c r="W192" i="20"/>
  <c r="V192" i="20"/>
  <c r="U192" i="20"/>
  <c r="T192" i="20"/>
  <c r="S192" i="20"/>
  <c r="R192" i="20"/>
  <c r="S188" i="20"/>
  <c r="X182" i="20"/>
  <c r="W182" i="20"/>
  <c r="V182" i="20"/>
  <c r="U182" i="20"/>
  <c r="T182" i="20"/>
  <c r="S182" i="20"/>
  <c r="R182" i="20"/>
  <c r="X181" i="20"/>
  <c r="W181" i="20"/>
  <c r="V181" i="20"/>
  <c r="U181" i="20"/>
  <c r="T181" i="20"/>
  <c r="S181" i="20"/>
  <c r="R181" i="20"/>
  <c r="X180" i="20"/>
  <c r="W180" i="20"/>
  <c r="V180" i="20"/>
  <c r="U180" i="20"/>
  <c r="T180" i="20"/>
  <c r="S180" i="20"/>
  <c r="R180" i="20"/>
  <c r="X179" i="20"/>
  <c r="W179" i="20"/>
  <c r="V179" i="20"/>
  <c r="U179" i="20"/>
  <c r="T179" i="20"/>
  <c r="S179" i="20"/>
  <c r="R179" i="20"/>
  <c r="X178" i="20"/>
  <c r="W178" i="20"/>
  <c r="V178" i="20"/>
  <c r="U178" i="20"/>
  <c r="T178" i="20"/>
  <c r="S178" i="20"/>
  <c r="R178" i="20"/>
  <c r="S174" i="20"/>
  <c r="X168" i="20"/>
  <c r="W168" i="20"/>
  <c r="V168" i="20"/>
  <c r="U168" i="20"/>
  <c r="T168" i="20"/>
  <c r="S168" i="20"/>
  <c r="R168" i="20"/>
  <c r="X167" i="20"/>
  <c r="W167" i="20"/>
  <c r="V167" i="20"/>
  <c r="U167" i="20"/>
  <c r="T167" i="20"/>
  <c r="S167" i="20"/>
  <c r="R167" i="20"/>
  <c r="X166" i="20"/>
  <c r="W166" i="20"/>
  <c r="V166" i="20"/>
  <c r="U166" i="20"/>
  <c r="T166" i="20"/>
  <c r="S166" i="20"/>
  <c r="R166" i="20"/>
  <c r="X165" i="20"/>
  <c r="W165" i="20"/>
  <c r="V165" i="20"/>
  <c r="U165" i="20"/>
  <c r="T165" i="20"/>
  <c r="S165" i="20"/>
  <c r="R165" i="20"/>
  <c r="X164" i="20"/>
  <c r="W164" i="20"/>
  <c r="V164" i="20"/>
  <c r="U164" i="20"/>
  <c r="T164" i="20"/>
  <c r="S164" i="20"/>
  <c r="R164" i="20"/>
  <c r="S160" i="20"/>
  <c r="X154" i="20"/>
  <c r="W154" i="20"/>
  <c r="V154" i="20"/>
  <c r="U154" i="20"/>
  <c r="T154" i="20"/>
  <c r="S154" i="20"/>
  <c r="R154" i="20"/>
  <c r="X153" i="20"/>
  <c r="W153" i="20"/>
  <c r="V153" i="20"/>
  <c r="U153" i="20"/>
  <c r="T153" i="20"/>
  <c r="S153" i="20"/>
  <c r="R153" i="20"/>
  <c r="X152" i="20"/>
  <c r="W152" i="20"/>
  <c r="V152" i="20"/>
  <c r="U152" i="20"/>
  <c r="T152" i="20"/>
  <c r="S152" i="20"/>
  <c r="R152" i="20"/>
  <c r="X151" i="20"/>
  <c r="W151" i="20"/>
  <c r="V151" i="20"/>
  <c r="U151" i="20"/>
  <c r="T151" i="20"/>
  <c r="S151" i="20"/>
  <c r="R151" i="20"/>
  <c r="X150" i="20"/>
  <c r="W150" i="20"/>
  <c r="V150" i="20"/>
  <c r="U150" i="20"/>
  <c r="T150" i="20"/>
  <c r="S150" i="20"/>
  <c r="R150" i="20"/>
  <c r="S146" i="20"/>
  <c r="X140" i="20"/>
  <c r="W140" i="20"/>
  <c r="V140" i="20"/>
  <c r="U140" i="20"/>
  <c r="T140" i="20"/>
  <c r="S140" i="20"/>
  <c r="R140" i="20"/>
  <c r="X139" i="20"/>
  <c r="W139" i="20"/>
  <c r="V139" i="20"/>
  <c r="U139" i="20"/>
  <c r="T139" i="20"/>
  <c r="S139" i="20"/>
  <c r="R139" i="20"/>
  <c r="X138" i="20"/>
  <c r="W138" i="20"/>
  <c r="V138" i="20"/>
  <c r="U138" i="20"/>
  <c r="T138" i="20"/>
  <c r="S138" i="20"/>
  <c r="R138" i="20"/>
  <c r="X137" i="20"/>
  <c r="W137" i="20"/>
  <c r="V137" i="20"/>
  <c r="U137" i="20"/>
  <c r="T137" i="20"/>
  <c r="S137" i="20"/>
  <c r="R137" i="20"/>
  <c r="X136" i="20"/>
  <c r="W136" i="20"/>
  <c r="V136" i="20"/>
  <c r="U136" i="20"/>
  <c r="T136" i="20"/>
  <c r="S136" i="20"/>
  <c r="R136" i="20"/>
  <c r="S132" i="20"/>
  <c r="X126" i="20"/>
  <c r="W126" i="20"/>
  <c r="V126" i="20"/>
  <c r="U126" i="20"/>
  <c r="T126" i="20"/>
  <c r="S126" i="20"/>
  <c r="R126" i="20"/>
  <c r="X125" i="20"/>
  <c r="W125" i="20"/>
  <c r="V125" i="20"/>
  <c r="U125" i="20"/>
  <c r="T125" i="20"/>
  <c r="S125" i="20"/>
  <c r="R125" i="20"/>
  <c r="X124" i="20"/>
  <c r="W124" i="20"/>
  <c r="V124" i="20"/>
  <c r="U124" i="20"/>
  <c r="T124" i="20"/>
  <c r="S124" i="20"/>
  <c r="R124" i="20"/>
  <c r="X123" i="20"/>
  <c r="W123" i="20"/>
  <c r="V123" i="20"/>
  <c r="U123" i="20"/>
  <c r="T123" i="20"/>
  <c r="S123" i="20"/>
  <c r="R123" i="20"/>
  <c r="X122" i="20"/>
  <c r="W122" i="20"/>
  <c r="V122" i="20"/>
  <c r="U122" i="20"/>
  <c r="T122" i="20"/>
  <c r="S122" i="20"/>
  <c r="R122" i="20"/>
  <c r="S118" i="20"/>
  <c r="X112" i="20"/>
  <c r="W112" i="20"/>
  <c r="V112" i="20"/>
  <c r="U112" i="20"/>
  <c r="T112" i="20"/>
  <c r="S112" i="20"/>
  <c r="R112" i="20"/>
  <c r="X111" i="20"/>
  <c r="W111" i="20"/>
  <c r="V111" i="20"/>
  <c r="U111" i="20"/>
  <c r="T111" i="20"/>
  <c r="S111" i="20"/>
  <c r="R111" i="20"/>
  <c r="X110" i="20"/>
  <c r="W110" i="20"/>
  <c r="V110" i="20"/>
  <c r="U110" i="20"/>
  <c r="T110" i="20"/>
  <c r="S110" i="20"/>
  <c r="R110" i="20"/>
  <c r="X109" i="20"/>
  <c r="W109" i="20"/>
  <c r="V109" i="20"/>
  <c r="U109" i="20"/>
  <c r="T109" i="20"/>
  <c r="S109" i="20"/>
  <c r="R109" i="20"/>
  <c r="X108" i="20"/>
  <c r="W108" i="20"/>
  <c r="V108" i="20"/>
  <c r="U108" i="20"/>
  <c r="T108" i="20"/>
  <c r="S108" i="20"/>
  <c r="R108" i="20"/>
  <c r="S104" i="20"/>
  <c r="X98" i="20"/>
  <c r="W98" i="20"/>
  <c r="V98" i="20"/>
  <c r="U98" i="20"/>
  <c r="T98" i="20"/>
  <c r="S98" i="20"/>
  <c r="R98" i="20"/>
  <c r="X97" i="20"/>
  <c r="W97" i="20"/>
  <c r="V97" i="20"/>
  <c r="U97" i="20"/>
  <c r="T97" i="20"/>
  <c r="S97" i="20"/>
  <c r="R97" i="20"/>
  <c r="X96" i="20"/>
  <c r="W96" i="20"/>
  <c r="V96" i="20"/>
  <c r="U96" i="20"/>
  <c r="T96" i="20"/>
  <c r="S96" i="20"/>
  <c r="R96" i="20"/>
  <c r="X95" i="20"/>
  <c r="W95" i="20"/>
  <c r="V95" i="20"/>
  <c r="U95" i="20"/>
  <c r="T95" i="20"/>
  <c r="S95" i="20"/>
  <c r="R95" i="20"/>
  <c r="X94" i="20"/>
  <c r="W94" i="20"/>
  <c r="V94" i="20"/>
  <c r="U94" i="20"/>
  <c r="T94" i="20"/>
  <c r="S94" i="20"/>
  <c r="R94" i="20"/>
  <c r="S90" i="20"/>
  <c r="X84" i="20"/>
  <c r="W84" i="20"/>
  <c r="V84" i="20"/>
  <c r="U84" i="20"/>
  <c r="T84" i="20"/>
  <c r="S84" i="20"/>
  <c r="R84" i="20"/>
  <c r="X83" i="20"/>
  <c r="W83" i="20"/>
  <c r="V83" i="20"/>
  <c r="U83" i="20"/>
  <c r="T83" i="20"/>
  <c r="S83" i="20"/>
  <c r="R83" i="20"/>
  <c r="X82" i="20"/>
  <c r="W82" i="20"/>
  <c r="V82" i="20"/>
  <c r="U82" i="20"/>
  <c r="T82" i="20"/>
  <c r="S82" i="20"/>
  <c r="R82" i="20"/>
  <c r="X81" i="20"/>
  <c r="W81" i="20"/>
  <c r="V81" i="20"/>
  <c r="U81" i="20"/>
  <c r="T81" i="20"/>
  <c r="S81" i="20"/>
  <c r="R81" i="20"/>
  <c r="X80" i="20"/>
  <c r="W80" i="20"/>
  <c r="V80" i="20"/>
  <c r="U80" i="20"/>
  <c r="T80" i="20"/>
  <c r="S80" i="20"/>
  <c r="R80" i="20"/>
  <c r="S76" i="20"/>
  <c r="X70" i="20"/>
  <c r="W70" i="20"/>
  <c r="V70" i="20"/>
  <c r="U70" i="20"/>
  <c r="T70" i="20"/>
  <c r="S70" i="20"/>
  <c r="R70" i="20"/>
  <c r="X69" i="20"/>
  <c r="W69" i="20"/>
  <c r="V69" i="20"/>
  <c r="U69" i="20"/>
  <c r="T69" i="20"/>
  <c r="S69" i="20"/>
  <c r="R69" i="20"/>
  <c r="X68" i="20"/>
  <c r="W68" i="20"/>
  <c r="V68" i="20"/>
  <c r="U68" i="20"/>
  <c r="T68" i="20"/>
  <c r="S68" i="20"/>
  <c r="R68" i="20"/>
  <c r="X67" i="20"/>
  <c r="W67" i="20"/>
  <c r="V67" i="20"/>
  <c r="U67" i="20"/>
  <c r="T67" i="20"/>
  <c r="S67" i="20"/>
  <c r="R67" i="20"/>
  <c r="X66" i="20"/>
  <c r="W66" i="20"/>
  <c r="V66" i="20"/>
  <c r="U66" i="20"/>
  <c r="T66" i="20"/>
  <c r="S66" i="20"/>
  <c r="R66" i="20"/>
  <c r="S62" i="20"/>
  <c r="X55" i="20"/>
  <c r="W55" i="20"/>
  <c r="V55" i="20"/>
  <c r="U55" i="20"/>
  <c r="T55" i="20"/>
  <c r="S55" i="20"/>
  <c r="R55" i="20"/>
  <c r="X54" i="20"/>
  <c r="W54" i="20"/>
  <c r="V54" i="20"/>
  <c r="U54" i="20"/>
  <c r="T54" i="20"/>
  <c r="S54" i="20"/>
  <c r="R54" i="20"/>
  <c r="X53" i="20"/>
  <c r="W53" i="20"/>
  <c r="V53" i="20"/>
  <c r="U53" i="20"/>
  <c r="T53" i="20"/>
  <c r="S53" i="20"/>
  <c r="R53" i="20"/>
  <c r="X52" i="20"/>
  <c r="W52" i="20"/>
  <c r="V52" i="20"/>
  <c r="U52" i="20"/>
  <c r="T52" i="20"/>
  <c r="S52" i="20"/>
  <c r="R52" i="20"/>
  <c r="X51" i="20"/>
  <c r="W51" i="20"/>
  <c r="V51" i="20"/>
  <c r="U51" i="20"/>
  <c r="T51" i="20"/>
  <c r="S51" i="20"/>
  <c r="R51" i="20"/>
  <c r="S47" i="20"/>
  <c r="X41" i="20"/>
  <c r="W41" i="20"/>
  <c r="V41" i="20"/>
  <c r="U41" i="20"/>
  <c r="T41" i="20"/>
  <c r="S41" i="20"/>
  <c r="R41" i="20"/>
  <c r="X40" i="20"/>
  <c r="W40" i="20"/>
  <c r="V40" i="20"/>
  <c r="U40" i="20"/>
  <c r="T40" i="20"/>
  <c r="S40" i="20"/>
  <c r="R40" i="20"/>
  <c r="X39" i="20"/>
  <c r="W39" i="20"/>
  <c r="V39" i="20"/>
  <c r="U39" i="20"/>
  <c r="T39" i="20"/>
  <c r="S39" i="20"/>
  <c r="R39" i="20"/>
  <c r="X38" i="20"/>
  <c r="W38" i="20"/>
  <c r="V38" i="20"/>
  <c r="U38" i="20"/>
  <c r="T38" i="20"/>
  <c r="S38" i="20"/>
  <c r="R38" i="20"/>
  <c r="X37" i="20"/>
  <c r="W37" i="20"/>
  <c r="V37" i="20"/>
  <c r="U37" i="20"/>
  <c r="T37" i="20"/>
  <c r="S37" i="20"/>
  <c r="R37" i="20"/>
  <c r="S33" i="20"/>
  <c r="X27" i="20"/>
  <c r="W27" i="20"/>
  <c r="V27" i="20"/>
  <c r="U27" i="20"/>
  <c r="T27" i="20"/>
  <c r="S27" i="20"/>
  <c r="R27" i="20"/>
  <c r="X26" i="20"/>
  <c r="W26" i="20"/>
  <c r="V26" i="20"/>
  <c r="U26" i="20"/>
  <c r="T26" i="20"/>
  <c r="S26" i="20"/>
  <c r="R26" i="20"/>
  <c r="X25" i="20"/>
  <c r="W25" i="20"/>
  <c r="V25" i="20"/>
  <c r="U25" i="20"/>
  <c r="T25" i="20"/>
  <c r="S25" i="20"/>
  <c r="R25" i="20"/>
  <c r="X24" i="20"/>
  <c r="W24" i="20"/>
  <c r="V24" i="20"/>
  <c r="U24" i="20"/>
  <c r="T24" i="20"/>
  <c r="S24" i="20"/>
  <c r="R24" i="20"/>
  <c r="X23" i="20"/>
  <c r="W23" i="20"/>
  <c r="V23" i="20"/>
  <c r="U23" i="20"/>
  <c r="T23" i="20"/>
  <c r="S23" i="20"/>
  <c r="R23" i="20"/>
  <c r="S19" i="20"/>
  <c r="X12" i="20"/>
  <c r="W12" i="20"/>
  <c r="V12" i="20"/>
  <c r="U12" i="20"/>
  <c r="T12" i="20"/>
  <c r="S12" i="20"/>
  <c r="R12" i="20"/>
  <c r="X11" i="20"/>
  <c r="W11" i="20"/>
  <c r="V11" i="20"/>
  <c r="U11" i="20"/>
  <c r="T11" i="20"/>
  <c r="S11" i="20"/>
  <c r="R11" i="20"/>
  <c r="X10" i="20"/>
  <c r="W10" i="20"/>
  <c r="V10" i="20"/>
  <c r="U10" i="20"/>
  <c r="T10" i="20"/>
  <c r="S10" i="20"/>
  <c r="R10" i="20"/>
  <c r="X9" i="20"/>
  <c r="W9" i="20"/>
  <c r="V9" i="20"/>
  <c r="U9" i="20"/>
  <c r="T9" i="20"/>
  <c r="S9" i="20"/>
  <c r="X8" i="20"/>
  <c r="W8" i="20"/>
  <c r="V8" i="20"/>
  <c r="U8" i="20"/>
  <c r="T8" i="20"/>
  <c r="S8" i="20"/>
  <c r="R8" i="20"/>
  <c r="S4" i="20"/>
  <c r="S60" i="18"/>
  <c r="S46" i="18"/>
  <c r="S32" i="18"/>
  <c r="S18" i="18"/>
  <c r="S4" i="18"/>
  <c r="X40" i="16"/>
  <c r="W40" i="16"/>
  <c r="V40" i="16"/>
  <c r="U40" i="16"/>
  <c r="T40" i="16"/>
  <c r="S40" i="16"/>
  <c r="R40" i="16"/>
  <c r="X39" i="16"/>
  <c r="W39" i="16"/>
  <c r="V39" i="16"/>
  <c r="U39" i="16"/>
  <c r="T39" i="16"/>
  <c r="S39" i="16"/>
  <c r="R39" i="16"/>
  <c r="X38" i="16"/>
  <c r="W38" i="16"/>
  <c r="V38" i="16"/>
  <c r="U38" i="16"/>
  <c r="T38" i="16"/>
  <c r="S38" i="16"/>
  <c r="R38" i="16"/>
  <c r="X37" i="16"/>
  <c r="W37" i="16"/>
  <c r="V37" i="16"/>
  <c r="U37" i="16"/>
  <c r="T37" i="16"/>
  <c r="S37" i="16"/>
  <c r="R37" i="16"/>
  <c r="X36" i="16"/>
  <c r="W36" i="16"/>
  <c r="V36" i="16"/>
  <c r="U36" i="16"/>
  <c r="T36" i="16"/>
  <c r="S36" i="16"/>
  <c r="R36" i="16"/>
  <c r="S32" i="16"/>
  <c r="X26" i="16"/>
  <c r="W26" i="16"/>
  <c r="V26" i="16"/>
  <c r="U26" i="16"/>
  <c r="T26" i="16"/>
  <c r="S26" i="16"/>
  <c r="R26" i="16"/>
  <c r="X25" i="16"/>
  <c r="W25" i="16"/>
  <c r="V25" i="16"/>
  <c r="U25" i="16"/>
  <c r="T25" i="16"/>
  <c r="S25" i="16"/>
  <c r="R25" i="16"/>
  <c r="X24" i="16"/>
  <c r="W24" i="16"/>
  <c r="V24" i="16"/>
  <c r="U24" i="16"/>
  <c r="T24" i="16"/>
  <c r="S24" i="16"/>
  <c r="R24" i="16"/>
  <c r="X23" i="16"/>
  <c r="W23" i="16"/>
  <c r="V23" i="16"/>
  <c r="U23" i="16"/>
  <c r="T23" i="16"/>
  <c r="S23" i="16"/>
  <c r="R23" i="16"/>
  <c r="X22" i="16"/>
  <c r="W22" i="16"/>
  <c r="V22" i="16"/>
  <c r="U22" i="16"/>
  <c r="T22" i="16"/>
  <c r="S22" i="16"/>
  <c r="R22" i="16"/>
  <c r="S18" i="16"/>
  <c r="X12" i="16"/>
  <c r="W12" i="16"/>
  <c r="V12" i="16"/>
  <c r="U12" i="16"/>
  <c r="T12" i="16"/>
  <c r="S12" i="16"/>
  <c r="R12" i="16"/>
  <c r="X11" i="16"/>
  <c r="W11" i="16"/>
  <c r="V11" i="16"/>
  <c r="U11" i="16"/>
  <c r="T11" i="16"/>
  <c r="S11" i="16"/>
  <c r="R11" i="16"/>
  <c r="X10" i="16"/>
  <c r="W10" i="16"/>
  <c r="V10" i="16"/>
  <c r="U10" i="16"/>
  <c r="T10" i="16"/>
  <c r="S10" i="16"/>
  <c r="R10" i="16"/>
  <c r="X9" i="16"/>
  <c r="W9" i="16"/>
  <c r="V9" i="16"/>
  <c r="U9" i="16"/>
  <c r="T9" i="16"/>
  <c r="S9" i="16"/>
  <c r="R9" i="16"/>
  <c r="X8" i="16"/>
  <c r="W8" i="16"/>
  <c r="V8" i="16"/>
  <c r="U8" i="16"/>
  <c r="T8" i="16"/>
  <c r="S8" i="16"/>
  <c r="S1" i="16" s="1"/>
  <c r="R8" i="16"/>
  <c r="S4" i="16"/>
  <c r="X40" i="15"/>
  <c r="W40" i="15"/>
  <c r="V40" i="15"/>
  <c r="U40" i="15"/>
  <c r="T40" i="15"/>
  <c r="S40" i="15"/>
  <c r="R40" i="15"/>
  <c r="X39" i="15"/>
  <c r="W39" i="15"/>
  <c r="V39" i="15"/>
  <c r="U39" i="15"/>
  <c r="T39" i="15"/>
  <c r="S39" i="15"/>
  <c r="R39" i="15"/>
  <c r="X38" i="15"/>
  <c r="W38" i="15"/>
  <c r="V38" i="15"/>
  <c r="U38" i="15"/>
  <c r="T38" i="15"/>
  <c r="S38" i="15"/>
  <c r="R38" i="15"/>
  <c r="X37" i="15"/>
  <c r="W37" i="15"/>
  <c r="V37" i="15"/>
  <c r="U37" i="15"/>
  <c r="T37" i="15"/>
  <c r="S37" i="15"/>
  <c r="R37" i="15"/>
  <c r="X36" i="15"/>
  <c r="W36" i="15"/>
  <c r="V36" i="15"/>
  <c r="U36" i="15"/>
  <c r="T36" i="15"/>
  <c r="S36" i="15"/>
  <c r="R36" i="15"/>
  <c r="S32" i="15"/>
  <c r="X26" i="15"/>
  <c r="W26" i="15"/>
  <c r="V26" i="15"/>
  <c r="U26" i="15"/>
  <c r="T26" i="15"/>
  <c r="S26" i="15"/>
  <c r="R26" i="15"/>
  <c r="X25" i="15"/>
  <c r="W25" i="15"/>
  <c r="V25" i="15"/>
  <c r="U25" i="15"/>
  <c r="T25" i="15"/>
  <c r="S25" i="15"/>
  <c r="R25" i="15"/>
  <c r="X24" i="15"/>
  <c r="W24" i="15"/>
  <c r="V24" i="15"/>
  <c r="U24" i="15"/>
  <c r="T24" i="15"/>
  <c r="S24" i="15"/>
  <c r="R24" i="15"/>
  <c r="X23" i="15"/>
  <c r="W23" i="15"/>
  <c r="V23" i="15"/>
  <c r="U23" i="15"/>
  <c r="T23" i="15"/>
  <c r="S23" i="15"/>
  <c r="R23" i="15"/>
  <c r="X22" i="15"/>
  <c r="W22" i="15"/>
  <c r="V22" i="15"/>
  <c r="U22" i="15"/>
  <c r="T22" i="15"/>
  <c r="S22" i="15"/>
  <c r="R22" i="15"/>
  <c r="S18" i="15"/>
  <c r="X12" i="15"/>
  <c r="W12" i="15"/>
  <c r="V12" i="15"/>
  <c r="U12" i="15"/>
  <c r="T12" i="15"/>
  <c r="S12" i="15"/>
  <c r="R12" i="15"/>
  <c r="X11" i="15"/>
  <c r="W11" i="15"/>
  <c r="V11" i="15"/>
  <c r="U11" i="15"/>
  <c r="T11" i="15"/>
  <c r="S11" i="15"/>
  <c r="R11" i="15"/>
  <c r="X10" i="15"/>
  <c r="W10" i="15"/>
  <c r="V10" i="15"/>
  <c r="U10" i="15"/>
  <c r="T10" i="15"/>
  <c r="S10" i="15"/>
  <c r="R10" i="15"/>
  <c r="X9" i="15"/>
  <c r="W9" i="15"/>
  <c r="V9" i="15"/>
  <c r="U9" i="15"/>
  <c r="T9" i="15"/>
  <c r="S9" i="15"/>
  <c r="R9" i="15"/>
  <c r="X8" i="15"/>
  <c r="W8" i="15"/>
  <c r="W1" i="15" s="1"/>
  <c r="V8" i="15"/>
  <c r="U8" i="15"/>
  <c r="T8" i="15"/>
  <c r="S8" i="15"/>
  <c r="R8" i="15"/>
  <c r="S4" i="15"/>
  <c r="X153" i="14"/>
  <c r="W153" i="14"/>
  <c r="V153" i="14"/>
  <c r="U153" i="14"/>
  <c r="T153" i="14"/>
  <c r="S153" i="14"/>
  <c r="R153" i="14"/>
  <c r="X152" i="14"/>
  <c r="W152" i="14"/>
  <c r="V152" i="14"/>
  <c r="U152" i="14"/>
  <c r="T152" i="14"/>
  <c r="S152" i="14"/>
  <c r="R152" i="14"/>
  <c r="X151" i="14"/>
  <c r="W151" i="14"/>
  <c r="V151" i="14"/>
  <c r="U151" i="14"/>
  <c r="T151" i="14"/>
  <c r="S151" i="14"/>
  <c r="R151" i="14"/>
  <c r="X150" i="14"/>
  <c r="W150" i="14"/>
  <c r="V150" i="14"/>
  <c r="U150" i="14"/>
  <c r="T150" i="14"/>
  <c r="S150" i="14"/>
  <c r="R150" i="14"/>
  <c r="X149" i="14"/>
  <c r="W149" i="14"/>
  <c r="V149" i="14"/>
  <c r="U149" i="14"/>
  <c r="T149" i="14"/>
  <c r="S149" i="14"/>
  <c r="R149" i="14"/>
  <c r="S145" i="14"/>
  <c r="X139" i="14"/>
  <c r="W139" i="14"/>
  <c r="V139" i="14"/>
  <c r="U139" i="14"/>
  <c r="T139" i="14"/>
  <c r="S139" i="14"/>
  <c r="R139" i="14"/>
  <c r="X138" i="14"/>
  <c r="W138" i="14"/>
  <c r="V138" i="14"/>
  <c r="U138" i="14"/>
  <c r="T138" i="14"/>
  <c r="S138" i="14"/>
  <c r="R138" i="14"/>
  <c r="X137" i="14"/>
  <c r="W137" i="14"/>
  <c r="V137" i="14"/>
  <c r="U137" i="14"/>
  <c r="T137" i="14"/>
  <c r="S137" i="14"/>
  <c r="R137" i="14"/>
  <c r="X136" i="14"/>
  <c r="W136" i="14"/>
  <c r="V136" i="14"/>
  <c r="U136" i="14"/>
  <c r="T136" i="14"/>
  <c r="S136" i="14"/>
  <c r="R136" i="14"/>
  <c r="X135" i="14"/>
  <c r="W135" i="14"/>
  <c r="V135" i="14"/>
  <c r="U135" i="14"/>
  <c r="T135" i="14"/>
  <c r="S135" i="14"/>
  <c r="R135" i="14"/>
  <c r="S131" i="14"/>
  <c r="X125" i="14"/>
  <c r="W125" i="14"/>
  <c r="V125" i="14"/>
  <c r="U125" i="14"/>
  <c r="T125" i="14"/>
  <c r="S125" i="14"/>
  <c r="R125" i="14"/>
  <c r="X124" i="14"/>
  <c r="W124" i="14"/>
  <c r="V124" i="14"/>
  <c r="U124" i="14"/>
  <c r="T124" i="14"/>
  <c r="S124" i="14"/>
  <c r="R124" i="14"/>
  <c r="X123" i="14"/>
  <c r="W123" i="14"/>
  <c r="V123" i="14"/>
  <c r="U123" i="14"/>
  <c r="T123" i="14"/>
  <c r="S123" i="14"/>
  <c r="R123" i="14"/>
  <c r="X122" i="14"/>
  <c r="W122" i="14"/>
  <c r="V122" i="14"/>
  <c r="U122" i="14"/>
  <c r="T122" i="14"/>
  <c r="S122" i="14"/>
  <c r="R122" i="14"/>
  <c r="X121" i="14"/>
  <c r="W121" i="14"/>
  <c r="V121" i="14"/>
  <c r="U121" i="14"/>
  <c r="T121" i="14"/>
  <c r="S121" i="14"/>
  <c r="R121" i="14"/>
  <c r="S117" i="14"/>
  <c r="X111" i="14"/>
  <c r="W111" i="14"/>
  <c r="V111" i="14"/>
  <c r="U111" i="14"/>
  <c r="T111" i="14"/>
  <c r="S111" i="14"/>
  <c r="R111" i="14"/>
  <c r="X110" i="14"/>
  <c r="W110" i="14"/>
  <c r="V110" i="14"/>
  <c r="U110" i="14"/>
  <c r="T110" i="14"/>
  <c r="S110" i="14"/>
  <c r="R110" i="14"/>
  <c r="X109" i="14"/>
  <c r="W109" i="14"/>
  <c r="V109" i="14"/>
  <c r="U109" i="14"/>
  <c r="T109" i="14"/>
  <c r="S109" i="14"/>
  <c r="R109" i="14"/>
  <c r="X108" i="14"/>
  <c r="W108" i="14"/>
  <c r="V108" i="14"/>
  <c r="U108" i="14"/>
  <c r="T108" i="14"/>
  <c r="S108" i="14"/>
  <c r="R108" i="14"/>
  <c r="X107" i="14"/>
  <c r="W107" i="14"/>
  <c r="V107" i="14"/>
  <c r="U107" i="14"/>
  <c r="T107" i="14"/>
  <c r="S107" i="14"/>
  <c r="R107" i="14"/>
  <c r="S103" i="14"/>
  <c r="X97" i="14"/>
  <c r="W97" i="14"/>
  <c r="V97" i="14"/>
  <c r="U97" i="14"/>
  <c r="T97" i="14"/>
  <c r="S97" i="14"/>
  <c r="R97" i="14"/>
  <c r="X96" i="14"/>
  <c r="W96" i="14"/>
  <c r="V96" i="14"/>
  <c r="U96" i="14"/>
  <c r="T96" i="14"/>
  <c r="S96" i="14"/>
  <c r="R96" i="14"/>
  <c r="X95" i="14"/>
  <c r="W95" i="14"/>
  <c r="V95" i="14"/>
  <c r="U95" i="14"/>
  <c r="T95" i="14"/>
  <c r="S95" i="14"/>
  <c r="R95" i="14"/>
  <c r="X94" i="14"/>
  <c r="W94" i="14"/>
  <c r="V94" i="14"/>
  <c r="U94" i="14"/>
  <c r="T94" i="14"/>
  <c r="S94" i="14"/>
  <c r="R94" i="14"/>
  <c r="X93" i="14"/>
  <c r="W93" i="14"/>
  <c r="V93" i="14"/>
  <c r="U93" i="14"/>
  <c r="T93" i="14"/>
  <c r="S93" i="14"/>
  <c r="R93" i="14"/>
  <c r="S89" i="14"/>
  <c r="X83" i="14"/>
  <c r="W83" i="14"/>
  <c r="V83" i="14"/>
  <c r="U83" i="14"/>
  <c r="T83" i="14"/>
  <c r="S83" i="14"/>
  <c r="R83" i="14"/>
  <c r="X82" i="14"/>
  <c r="W82" i="14"/>
  <c r="V82" i="14"/>
  <c r="U82" i="14"/>
  <c r="T82" i="14"/>
  <c r="S82" i="14"/>
  <c r="R82" i="14"/>
  <c r="X81" i="14"/>
  <c r="W81" i="14"/>
  <c r="V81" i="14"/>
  <c r="U81" i="14"/>
  <c r="T81" i="14"/>
  <c r="S81" i="14"/>
  <c r="R81" i="14"/>
  <c r="X80" i="14"/>
  <c r="W80" i="14"/>
  <c r="V80" i="14"/>
  <c r="U80" i="14"/>
  <c r="T80" i="14"/>
  <c r="S80" i="14"/>
  <c r="R80" i="14"/>
  <c r="X79" i="14"/>
  <c r="W79" i="14"/>
  <c r="V79" i="14"/>
  <c r="U79" i="14"/>
  <c r="T79" i="14"/>
  <c r="S79" i="14"/>
  <c r="R79" i="14"/>
  <c r="S75" i="14"/>
  <c r="X69" i="14"/>
  <c r="W69" i="14"/>
  <c r="V69" i="14"/>
  <c r="U69" i="14"/>
  <c r="T69" i="14"/>
  <c r="S69" i="14"/>
  <c r="R69" i="14"/>
  <c r="X68" i="14"/>
  <c r="W68" i="14"/>
  <c r="V68" i="14"/>
  <c r="U68" i="14"/>
  <c r="T68" i="14"/>
  <c r="S68" i="14"/>
  <c r="R68" i="14"/>
  <c r="X67" i="14"/>
  <c r="W67" i="14"/>
  <c r="V67" i="14"/>
  <c r="U67" i="14"/>
  <c r="T67" i="14"/>
  <c r="S67" i="14"/>
  <c r="R67" i="14"/>
  <c r="X66" i="14"/>
  <c r="W66" i="14"/>
  <c r="V66" i="14"/>
  <c r="U66" i="14"/>
  <c r="T66" i="14"/>
  <c r="S66" i="14"/>
  <c r="R66" i="14"/>
  <c r="X65" i="14"/>
  <c r="W65" i="14"/>
  <c r="V65" i="14"/>
  <c r="U65" i="14"/>
  <c r="T65" i="14"/>
  <c r="S65" i="14"/>
  <c r="R65" i="14"/>
  <c r="S61" i="14"/>
  <c r="X55" i="14"/>
  <c r="W55" i="14"/>
  <c r="V55" i="14"/>
  <c r="U55" i="14"/>
  <c r="T55" i="14"/>
  <c r="S55" i="14"/>
  <c r="R55" i="14"/>
  <c r="X54" i="14"/>
  <c r="W54" i="14"/>
  <c r="V54" i="14"/>
  <c r="U54" i="14"/>
  <c r="T54" i="14"/>
  <c r="S54" i="14"/>
  <c r="R54" i="14"/>
  <c r="X53" i="14"/>
  <c r="W53" i="14"/>
  <c r="V53" i="14"/>
  <c r="U53" i="14"/>
  <c r="T53" i="14"/>
  <c r="S53" i="14"/>
  <c r="R53" i="14"/>
  <c r="X52" i="14"/>
  <c r="W52" i="14"/>
  <c r="V52" i="14"/>
  <c r="U52" i="14"/>
  <c r="T52" i="14"/>
  <c r="S52" i="14"/>
  <c r="R52" i="14"/>
  <c r="X51" i="14"/>
  <c r="W51" i="14"/>
  <c r="V51" i="14"/>
  <c r="U51" i="14"/>
  <c r="T51" i="14"/>
  <c r="S51" i="14"/>
  <c r="R51" i="14"/>
  <c r="S47" i="14"/>
  <c r="X40" i="14"/>
  <c r="W40" i="14"/>
  <c r="V40" i="14"/>
  <c r="U40" i="14"/>
  <c r="T40" i="14"/>
  <c r="S40" i="14"/>
  <c r="R40" i="14"/>
  <c r="X39" i="14"/>
  <c r="W39" i="14"/>
  <c r="V39" i="14"/>
  <c r="U39" i="14"/>
  <c r="T39" i="14"/>
  <c r="S39" i="14"/>
  <c r="R39" i="14"/>
  <c r="X38" i="14"/>
  <c r="W38" i="14"/>
  <c r="V38" i="14"/>
  <c r="U38" i="14"/>
  <c r="T38" i="14"/>
  <c r="S38" i="14"/>
  <c r="R38" i="14"/>
  <c r="X37" i="14"/>
  <c r="W37" i="14"/>
  <c r="V37" i="14"/>
  <c r="U37" i="14"/>
  <c r="T37" i="14"/>
  <c r="S37" i="14"/>
  <c r="R37" i="14"/>
  <c r="X36" i="14"/>
  <c r="W36" i="14"/>
  <c r="V36" i="14"/>
  <c r="U36" i="14"/>
  <c r="T36" i="14"/>
  <c r="S36" i="14"/>
  <c r="R36" i="14"/>
  <c r="S32" i="14"/>
  <c r="X26" i="14"/>
  <c r="W26" i="14"/>
  <c r="V26" i="14"/>
  <c r="U26" i="14"/>
  <c r="T26" i="14"/>
  <c r="S26" i="14"/>
  <c r="R26" i="14"/>
  <c r="X25" i="14"/>
  <c r="W25" i="14"/>
  <c r="V25" i="14"/>
  <c r="U25" i="14"/>
  <c r="T25" i="14"/>
  <c r="S25" i="14"/>
  <c r="R25" i="14"/>
  <c r="X24" i="14"/>
  <c r="W24" i="14"/>
  <c r="V24" i="14"/>
  <c r="U24" i="14"/>
  <c r="T24" i="14"/>
  <c r="S24" i="14"/>
  <c r="R24" i="14"/>
  <c r="X23" i="14"/>
  <c r="W23" i="14"/>
  <c r="V23" i="14"/>
  <c r="U23" i="14"/>
  <c r="T23" i="14"/>
  <c r="S23" i="14"/>
  <c r="R23" i="14"/>
  <c r="X22" i="14"/>
  <c r="W22" i="14"/>
  <c r="V22" i="14"/>
  <c r="U22" i="14"/>
  <c r="T22" i="14"/>
  <c r="S22" i="14"/>
  <c r="R22" i="14"/>
  <c r="S18" i="14"/>
  <c r="X12" i="14"/>
  <c r="W12" i="14"/>
  <c r="V12" i="14"/>
  <c r="U12" i="14"/>
  <c r="T12" i="14"/>
  <c r="S12" i="14"/>
  <c r="R12" i="14"/>
  <c r="X11" i="14"/>
  <c r="W11" i="14"/>
  <c r="V11" i="14"/>
  <c r="U11" i="14"/>
  <c r="T11" i="14"/>
  <c r="S11" i="14"/>
  <c r="R11" i="14"/>
  <c r="X10" i="14"/>
  <c r="W10" i="14"/>
  <c r="V10" i="14"/>
  <c r="U10" i="14"/>
  <c r="T10" i="14"/>
  <c r="S10" i="14"/>
  <c r="R10" i="14"/>
  <c r="X9" i="14"/>
  <c r="W9" i="14"/>
  <c r="V9" i="14"/>
  <c r="U9" i="14"/>
  <c r="T9" i="14"/>
  <c r="S9" i="14"/>
  <c r="R9" i="14"/>
  <c r="X8" i="14"/>
  <c r="W8" i="14"/>
  <c r="V8" i="14"/>
  <c r="U8" i="14"/>
  <c r="T8" i="14"/>
  <c r="S8" i="14"/>
  <c r="S1" i="14" s="1"/>
  <c r="R8" i="14"/>
  <c r="S4" i="14"/>
  <c r="X139" i="13"/>
  <c r="W139" i="13"/>
  <c r="V139" i="13"/>
  <c r="U139" i="13"/>
  <c r="T139" i="13"/>
  <c r="S139" i="13"/>
  <c r="R139" i="13"/>
  <c r="X138" i="13"/>
  <c r="W138" i="13"/>
  <c r="V138" i="13"/>
  <c r="U138" i="13"/>
  <c r="T138" i="13"/>
  <c r="S138" i="13"/>
  <c r="R138" i="13"/>
  <c r="X137" i="13"/>
  <c r="W137" i="13"/>
  <c r="V137" i="13"/>
  <c r="U137" i="13"/>
  <c r="T137" i="13"/>
  <c r="S137" i="13"/>
  <c r="R137" i="13"/>
  <c r="X136" i="13"/>
  <c r="W136" i="13"/>
  <c r="V136" i="13"/>
  <c r="U136" i="13"/>
  <c r="T136" i="13"/>
  <c r="S136" i="13"/>
  <c r="R136" i="13"/>
  <c r="X135" i="13"/>
  <c r="W135" i="13"/>
  <c r="V135" i="13"/>
  <c r="U135" i="13"/>
  <c r="T135" i="13"/>
  <c r="S135" i="13"/>
  <c r="R135" i="13"/>
  <c r="S131" i="13"/>
  <c r="X125" i="13"/>
  <c r="W125" i="13"/>
  <c r="V125" i="13"/>
  <c r="U125" i="13"/>
  <c r="T125" i="13"/>
  <c r="S125" i="13"/>
  <c r="R125" i="13"/>
  <c r="X124" i="13"/>
  <c r="W124" i="13"/>
  <c r="V124" i="13"/>
  <c r="U124" i="13"/>
  <c r="T124" i="13"/>
  <c r="S124" i="13"/>
  <c r="R124" i="13"/>
  <c r="X123" i="13"/>
  <c r="W123" i="13"/>
  <c r="V123" i="13"/>
  <c r="U123" i="13"/>
  <c r="T123" i="13"/>
  <c r="S123" i="13"/>
  <c r="R123" i="13"/>
  <c r="X122" i="13"/>
  <c r="W122" i="13"/>
  <c r="V122" i="13"/>
  <c r="U122" i="13"/>
  <c r="T122" i="13"/>
  <c r="S122" i="13"/>
  <c r="R122" i="13"/>
  <c r="X121" i="13"/>
  <c r="W121" i="13"/>
  <c r="V121" i="13"/>
  <c r="U121" i="13"/>
  <c r="T121" i="13"/>
  <c r="S121" i="13"/>
  <c r="R121" i="13"/>
  <c r="S117" i="13"/>
  <c r="X111" i="13"/>
  <c r="W111" i="13"/>
  <c r="V111" i="13"/>
  <c r="U111" i="13"/>
  <c r="T111" i="13"/>
  <c r="S111" i="13"/>
  <c r="R111" i="13"/>
  <c r="X110" i="13"/>
  <c r="W110" i="13"/>
  <c r="V110" i="13"/>
  <c r="U110" i="13"/>
  <c r="T110" i="13"/>
  <c r="S110" i="13"/>
  <c r="R110" i="13"/>
  <c r="X109" i="13"/>
  <c r="W109" i="13"/>
  <c r="V109" i="13"/>
  <c r="U109" i="13"/>
  <c r="T109" i="13"/>
  <c r="S109" i="13"/>
  <c r="R109" i="13"/>
  <c r="X108" i="13"/>
  <c r="W108" i="13"/>
  <c r="V108" i="13"/>
  <c r="U108" i="13"/>
  <c r="T108" i="13"/>
  <c r="S108" i="13"/>
  <c r="R108" i="13"/>
  <c r="X107" i="13"/>
  <c r="W107" i="13"/>
  <c r="V107" i="13"/>
  <c r="U107" i="13"/>
  <c r="T107" i="13"/>
  <c r="S107" i="13"/>
  <c r="R107" i="13"/>
  <c r="S103" i="13"/>
  <c r="X96" i="13"/>
  <c r="W96" i="13"/>
  <c r="V96" i="13"/>
  <c r="U96" i="13"/>
  <c r="T96" i="13"/>
  <c r="S96" i="13"/>
  <c r="R96" i="13"/>
  <c r="X95" i="13"/>
  <c r="W95" i="13"/>
  <c r="V95" i="13"/>
  <c r="U95" i="13"/>
  <c r="T95" i="13"/>
  <c r="S95" i="13"/>
  <c r="R95" i="13"/>
  <c r="X94" i="13"/>
  <c r="W94" i="13"/>
  <c r="V94" i="13"/>
  <c r="U94" i="13"/>
  <c r="T94" i="13"/>
  <c r="S94" i="13"/>
  <c r="R94" i="13"/>
  <c r="X93" i="13"/>
  <c r="W93" i="13"/>
  <c r="V93" i="13"/>
  <c r="U93" i="13"/>
  <c r="T93" i="13"/>
  <c r="S93" i="13"/>
  <c r="R93" i="13"/>
  <c r="X92" i="13"/>
  <c r="W92" i="13"/>
  <c r="V92" i="13"/>
  <c r="U92" i="13"/>
  <c r="T92" i="13"/>
  <c r="S92" i="13"/>
  <c r="R92" i="13"/>
  <c r="S88" i="13"/>
  <c r="X82" i="13"/>
  <c r="W82" i="13"/>
  <c r="V82" i="13"/>
  <c r="U82" i="13"/>
  <c r="T82" i="13"/>
  <c r="S82" i="13"/>
  <c r="R82" i="13"/>
  <c r="X81" i="13"/>
  <c r="W81" i="13"/>
  <c r="V81" i="13"/>
  <c r="U81" i="13"/>
  <c r="T81" i="13"/>
  <c r="S81" i="13"/>
  <c r="R81" i="13"/>
  <c r="X80" i="13"/>
  <c r="W80" i="13"/>
  <c r="V80" i="13"/>
  <c r="U80" i="13"/>
  <c r="T80" i="13"/>
  <c r="S80" i="13"/>
  <c r="R80" i="13"/>
  <c r="X79" i="13"/>
  <c r="W79" i="13"/>
  <c r="V79" i="13"/>
  <c r="U79" i="13"/>
  <c r="T79" i="13"/>
  <c r="S79" i="13"/>
  <c r="R79" i="13"/>
  <c r="X78" i="13"/>
  <c r="W78" i="13"/>
  <c r="V78" i="13"/>
  <c r="U78" i="13"/>
  <c r="T78" i="13"/>
  <c r="S78" i="13"/>
  <c r="R78" i="13"/>
  <c r="S74" i="13"/>
  <c r="X68" i="13"/>
  <c r="W68" i="13"/>
  <c r="V68" i="13"/>
  <c r="U68" i="13"/>
  <c r="T68" i="13"/>
  <c r="S68" i="13"/>
  <c r="R68" i="13"/>
  <c r="X67" i="13"/>
  <c r="W67" i="13"/>
  <c r="V67" i="13"/>
  <c r="U67" i="13"/>
  <c r="T67" i="13"/>
  <c r="S67" i="13"/>
  <c r="R67" i="13"/>
  <c r="X66" i="13"/>
  <c r="W66" i="13"/>
  <c r="V66" i="13"/>
  <c r="U66" i="13"/>
  <c r="T66" i="13"/>
  <c r="S66" i="13"/>
  <c r="R66" i="13"/>
  <c r="X65" i="13"/>
  <c r="W65" i="13"/>
  <c r="V65" i="13"/>
  <c r="U65" i="13"/>
  <c r="T65" i="13"/>
  <c r="S65" i="13"/>
  <c r="R65" i="13"/>
  <c r="X64" i="13"/>
  <c r="W64" i="13"/>
  <c r="V64" i="13"/>
  <c r="U64" i="13"/>
  <c r="T64" i="13"/>
  <c r="S64" i="13"/>
  <c r="R64" i="13"/>
  <c r="S60" i="13"/>
  <c r="X54" i="13"/>
  <c r="W54" i="13"/>
  <c r="V54" i="13"/>
  <c r="U54" i="13"/>
  <c r="T54" i="13"/>
  <c r="S54" i="13"/>
  <c r="R54" i="13"/>
  <c r="X53" i="13"/>
  <c r="W53" i="13"/>
  <c r="V53" i="13"/>
  <c r="U53" i="13"/>
  <c r="T53" i="13"/>
  <c r="S53" i="13"/>
  <c r="R53" i="13"/>
  <c r="X52" i="13"/>
  <c r="W52" i="13"/>
  <c r="V52" i="13"/>
  <c r="U52" i="13"/>
  <c r="T52" i="13"/>
  <c r="S52" i="13"/>
  <c r="R52" i="13"/>
  <c r="X51" i="13"/>
  <c r="W51" i="13"/>
  <c r="V51" i="13"/>
  <c r="U51" i="13"/>
  <c r="T51" i="13"/>
  <c r="S51" i="13"/>
  <c r="R51" i="13"/>
  <c r="X50" i="13"/>
  <c r="W50" i="13"/>
  <c r="V50" i="13"/>
  <c r="U50" i="13"/>
  <c r="T50" i="13"/>
  <c r="S50" i="13"/>
  <c r="R50" i="13"/>
  <c r="S46" i="13"/>
  <c r="X40" i="13"/>
  <c r="W40" i="13"/>
  <c r="V40" i="13"/>
  <c r="U40" i="13"/>
  <c r="T40" i="13"/>
  <c r="S40" i="13"/>
  <c r="R40" i="13"/>
  <c r="X39" i="13"/>
  <c r="W39" i="13"/>
  <c r="V39" i="13"/>
  <c r="U39" i="13"/>
  <c r="T39" i="13"/>
  <c r="S39" i="13"/>
  <c r="R39" i="13"/>
  <c r="X38" i="13"/>
  <c r="W38" i="13"/>
  <c r="V38" i="13"/>
  <c r="U38" i="13"/>
  <c r="T38" i="13"/>
  <c r="S38" i="13"/>
  <c r="R38" i="13"/>
  <c r="X37" i="13"/>
  <c r="W37" i="13"/>
  <c r="V37" i="13"/>
  <c r="U37" i="13"/>
  <c r="T37" i="13"/>
  <c r="S37" i="13"/>
  <c r="R37" i="13"/>
  <c r="X36" i="13"/>
  <c r="W36" i="13"/>
  <c r="V36" i="13"/>
  <c r="U36" i="13"/>
  <c r="T36" i="13"/>
  <c r="S36" i="13"/>
  <c r="R36" i="13"/>
  <c r="S32" i="13"/>
  <c r="X26" i="13"/>
  <c r="W26" i="13"/>
  <c r="V26" i="13"/>
  <c r="U26" i="13"/>
  <c r="T26" i="13"/>
  <c r="S26" i="13"/>
  <c r="R26" i="13"/>
  <c r="X25" i="13"/>
  <c r="W25" i="13"/>
  <c r="V25" i="13"/>
  <c r="U25" i="13"/>
  <c r="T25" i="13"/>
  <c r="S25" i="13"/>
  <c r="R25" i="13"/>
  <c r="X24" i="13"/>
  <c r="W24" i="13"/>
  <c r="V24" i="13"/>
  <c r="U24" i="13"/>
  <c r="T24" i="13"/>
  <c r="S24" i="13"/>
  <c r="R24" i="13"/>
  <c r="X23" i="13"/>
  <c r="W23" i="13"/>
  <c r="V23" i="13"/>
  <c r="U23" i="13"/>
  <c r="T23" i="13"/>
  <c r="S23" i="13"/>
  <c r="R23" i="13"/>
  <c r="X22" i="13"/>
  <c r="W22" i="13"/>
  <c r="V22" i="13"/>
  <c r="U22" i="13"/>
  <c r="T22" i="13"/>
  <c r="S22" i="13"/>
  <c r="R22" i="13"/>
  <c r="S18" i="13"/>
  <c r="X12" i="13"/>
  <c r="W12" i="13"/>
  <c r="V12" i="13"/>
  <c r="U12" i="13"/>
  <c r="T12" i="13"/>
  <c r="S12" i="13"/>
  <c r="R12" i="13"/>
  <c r="X11" i="13"/>
  <c r="W11" i="13"/>
  <c r="V11" i="13"/>
  <c r="U11" i="13"/>
  <c r="T11" i="13"/>
  <c r="S11" i="13"/>
  <c r="R11" i="13"/>
  <c r="X10" i="13"/>
  <c r="W10" i="13"/>
  <c r="V10" i="13"/>
  <c r="U10" i="13"/>
  <c r="T10" i="13"/>
  <c r="S10" i="13"/>
  <c r="R10" i="13"/>
  <c r="X9" i="13"/>
  <c r="W9" i="13"/>
  <c r="V9" i="13"/>
  <c r="U9" i="13"/>
  <c r="T9" i="13"/>
  <c r="S9" i="13"/>
  <c r="R9" i="13"/>
  <c r="X8" i="13"/>
  <c r="W8" i="13"/>
  <c r="V8" i="13"/>
  <c r="U8" i="13"/>
  <c r="T8" i="13"/>
  <c r="S8" i="13"/>
  <c r="S1" i="13" s="1"/>
  <c r="R8" i="13"/>
  <c r="S4" i="13"/>
  <c r="X82" i="12"/>
  <c r="W82" i="12"/>
  <c r="V82" i="12"/>
  <c r="U82" i="12"/>
  <c r="T82" i="12"/>
  <c r="S82" i="12"/>
  <c r="R82" i="12"/>
  <c r="X81" i="12"/>
  <c r="W81" i="12"/>
  <c r="V81" i="12"/>
  <c r="U81" i="12"/>
  <c r="T81" i="12"/>
  <c r="S81" i="12"/>
  <c r="R81" i="12"/>
  <c r="X80" i="12"/>
  <c r="W80" i="12"/>
  <c r="V80" i="12"/>
  <c r="U80" i="12"/>
  <c r="T80" i="12"/>
  <c r="S80" i="12"/>
  <c r="R80" i="12"/>
  <c r="X79" i="12"/>
  <c r="W79" i="12"/>
  <c r="V79" i="12"/>
  <c r="U79" i="12"/>
  <c r="T79" i="12"/>
  <c r="S79" i="12"/>
  <c r="R79" i="12"/>
  <c r="X78" i="12"/>
  <c r="W78" i="12"/>
  <c r="V78" i="12"/>
  <c r="U78" i="12"/>
  <c r="T78" i="12"/>
  <c r="S78" i="12"/>
  <c r="R78" i="12"/>
  <c r="S74" i="12"/>
  <c r="X68" i="12"/>
  <c r="W68" i="12"/>
  <c r="V68" i="12"/>
  <c r="U68" i="12"/>
  <c r="T68" i="12"/>
  <c r="S68" i="12"/>
  <c r="R68" i="12"/>
  <c r="X67" i="12"/>
  <c r="W67" i="12"/>
  <c r="V67" i="12"/>
  <c r="U67" i="12"/>
  <c r="T67" i="12"/>
  <c r="S67" i="12"/>
  <c r="R67" i="12"/>
  <c r="X66" i="12"/>
  <c r="W66" i="12"/>
  <c r="V66" i="12"/>
  <c r="U66" i="12"/>
  <c r="T66" i="12"/>
  <c r="S66" i="12"/>
  <c r="R66" i="12"/>
  <c r="X65" i="12"/>
  <c r="W65" i="12"/>
  <c r="V65" i="12"/>
  <c r="U65" i="12"/>
  <c r="T65" i="12"/>
  <c r="S65" i="12"/>
  <c r="R65" i="12"/>
  <c r="X64" i="12"/>
  <c r="W64" i="12"/>
  <c r="V64" i="12"/>
  <c r="U64" i="12"/>
  <c r="T64" i="12"/>
  <c r="S64" i="12"/>
  <c r="R64" i="12"/>
  <c r="S60" i="12"/>
  <c r="X54" i="12"/>
  <c r="W54" i="12"/>
  <c r="V54" i="12"/>
  <c r="U54" i="12"/>
  <c r="T54" i="12"/>
  <c r="S54" i="12"/>
  <c r="R54" i="12"/>
  <c r="X53" i="12"/>
  <c r="W53" i="12"/>
  <c r="V53" i="12"/>
  <c r="U53" i="12"/>
  <c r="T53" i="12"/>
  <c r="S53" i="12"/>
  <c r="R53" i="12"/>
  <c r="X52" i="12"/>
  <c r="W52" i="12"/>
  <c r="V52" i="12"/>
  <c r="U52" i="12"/>
  <c r="T52" i="12"/>
  <c r="S52" i="12"/>
  <c r="R52" i="12"/>
  <c r="X51" i="12"/>
  <c r="W51" i="12"/>
  <c r="V51" i="12"/>
  <c r="U51" i="12"/>
  <c r="T51" i="12"/>
  <c r="S51" i="12"/>
  <c r="R51" i="12"/>
  <c r="X50" i="12"/>
  <c r="W50" i="12"/>
  <c r="V50" i="12"/>
  <c r="U50" i="12"/>
  <c r="T50" i="12"/>
  <c r="S50" i="12"/>
  <c r="R50" i="12"/>
  <c r="S46" i="12"/>
  <c r="X40" i="12"/>
  <c r="W40" i="12"/>
  <c r="V40" i="12"/>
  <c r="U40" i="12"/>
  <c r="T40" i="12"/>
  <c r="S40" i="12"/>
  <c r="R40" i="12"/>
  <c r="X39" i="12"/>
  <c r="W39" i="12"/>
  <c r="V39" i="12"/>
  <c r="U39" i="12"/>
  <c r="T39" i="12"/>
  <c r="S39" i="12"/>
  <c r="R39" i="12"/>
  <c r="X38" i="12"/>
  <c r="W38" i="12"/>
  <c r="V38" i="12"/>
  <c r="U38" i="12"/>
  <c r="T38" i="12"/>
  <c r="S38" i="12"/>
  <c r="R38" i="12"/>
  <c r="X37" i="12"/>
  <c r="W37" i="12"/>
  <c r="V37" i="12"/>
  <c r="U37" i="12"/>
  <c r="T37" i="12"/>
  <c r="S37" i="12"/>
  <c r="R37" i="12"/>
  <c r="X36" i="12"/>
  <c r="W36" i="12"/>
  <c r="V36" i="12"/>
  <c r="U36" i="12"/>
  <c r="T36" i="12"/>
  <c r="S36" i="12"/>
  <c r="R36" i="12"/>
  <c r="S32" i="12"/>
  <c r="X26" i="12"/>
  <c r="W26" i="12"/>
  <c r="V26" i="12"/>
  <c r="U26" i="12"/>
  <c r="T26" i="12"/>
  <c r="S26" i="12"/>
  <c r="R26" i="12"/>
  <c r="X25" i="12"/>
  <c r="W25" i="12"/>
  <c r="V25" i="12"/>
  <c r="U25" i="12"/>
  <c r="T25" i="12"/>
  <c r="S25" i="12"/>
  <c r="R25" i="12"/>
  <c r="X24" i="12"/>
  <c r="W24" i="12"/>
  <c r="V24" i="12"/>
  <c r="U24" i="12"/>
  <c r="T24" i="12"/>
  <c r="S24" i="12"/>
  <c r="R24" i="12"/>
  <c r="X23" i="12"/>
  <c r="W23" i="12"/>
  <c r="V23" i="12"/>
  <c r="U23" i="12"/>
  <c r="T23" i="12"/>
  <c r="S23" i="12"/>
  <c r="R23" i="12"/>
  <c r="X22" i="12"/>
  <c r="W22" i="12"/>
  <c r="V22" i="12"/>
  <c r="U22" i="12"/>
  <c r="T22" i="12"/>
  <c r="S22" i="12"/>
  <c r="R22" i="12"/>
  <c r="S18" i="12"/>
  <c r="X12" i="12"/>
  <c r="W12" i="12"/>
  <c r="V12" i="12"/>
  <c r="U12" i="12"/>
  <c r="T12" i="12"/>
  <c r="S12" i="12"/>
  <c r="R12" i="12"/>
  <c r="X11" i="12"/>
  <c r="W11" i="12"/>
  <c r="V11" i="12"/>
  <c r="U11" i="12"/>
  <c r="T11" i="12"/>
  <c r="S11" i="12"/>
  <c r="R11" i="12"/>
  <c r="X10" i="12"/>
  <c r="W10" i="12"/>
  <c r="V10" i="12"/>
  <c r="U10" i="12"/>
  <c r="T10" i="12"/>
  <c r="S10" i="12"/>
  <c r="R10" i="12"/>
  <c r="X9" i="12"/>
  <c r="W9" i="12"/>
  <c r="V9" i="12"/>
  <c r="U9" i="12"/>
  <c r="T9" i="12"/>
  <c r="S9" i="12"/>
  <c r="R9" i="12"/>
  <c r="X8" i="12"/>
  <c r="W8" i="12"/>
  <c r="V8" i="12"/>
  <c r="U8" i="12"/>
  <c r="T8" i="12"/>
  <c r="S8" i="12"/>
  <c r="S1" i="12" s="1"/>
  <c r="R8" i="12"/>
  <c r="S4" i="12"/>
  <c r="X180" i="7"/>
  <c r="W180" i="7"/>
  <c r="V180" i="7"/>
  <c r="U180" i="7"/>
  <c r="T180" i="7"/>
  <c r="S180" i="7"/>
  <c r="R180" i="7"/>
  <c r="X179" i="7"/>
  <c r="W179" i="7"/>
  <c r="V179" i="7"/>
  <c r="U179" i="7"/>
  <c r="T179" i="7"/>
  <c r="S179" i="7"/>
  <c r="R179" i="7"/>
  <c r="X178" i="7"/>
  <c r="W178" i="7"/>
  <c r="V178" i="7"/>
  <c r="U178" i="7"/>
  <c r="T178" i="7"/>
  <c r="S178" i="7"/>
  <c r="R178" i="7"/>
  <c r="X177" i="7"/>
  <c r="W177" i="7"/>
  <c r="V177" i="7"/>
  <c r="U177" i="7"/>
  <c r="T177" i="7"/>
  <c r="S177" i="7"/>
  <c r="R177" i="7"/>
  <c r="X176" i="7"/>
  <c r="W176" i="7"/>
  <c r="V176" i="7"/>
  <c r="U176" i="7"/>
  <c r="T176" i="7"/>
  <c r="S176" i="7"/>
  <c r="R176" i="7"/>
  <c r="S172" i="7"/>
  <c r="X166" i="7"/>
  <c r="W166" i="7"/>
  <c r="V166" i="7"/>
  <c r="U166" i="7"/>
  <c r="T166" i="7"/>
  <c r="S166" i="7"/>
  <c r="R166" i="7"/>
  <c r="X165" i="7"/>
  <c r="W165" i="7"/>
  <c r="V165" i="7"/>
  <c r="U165" i="7"/>
  <c r="T165" i="7"/>
  <c r="S165" i="7"/>
  <c r="R165" i="7"/>
  <c r="X164" i="7"/>
  <c r="W164" i="7"/>
  <c r="V164" i="7"/>
  <c r="U164" i="7"/>
  <c r="T164" i="7"/>
  <c r="S164" i="7"/>
  <c r="R164" i="7"/>
  <c r="X163" i="7"/>
  <c r="W163" i="7"/>
  <c r="V163" i="7"/>
  <c r="U163" i="7"/>
  <c r="T163" i="7"/>
  <c r="S163" i="7"/>
  <c r="R163" i="7"/>
  <c r="X162" i="7"/>
  <c r="W162" i="7"/>
  <c r="V162" i="7"/>
  <c r="U162" i="7"/>
  <c r="T162" i="7"/>
  <c r="S162" i="7"/>
  <c r="R162" i="7"/>
  <c r="S158" i="7"/>
  <c r="X152" i="7"/>
  <c r="W152" i="7"/>
  <c r="V152" i="7"/>
  <c r="U152" i="7"/>
  <c r="T152" i="7"/>
  <c r="S152" i="7"/>
  <c r="R152" i="7"/>
  <c r="X151" i="7"/>
  <c r="W151" i="7"/>
  <c r="V151" i="7"/>
  <c r="U151" i="7"/>
  <c r="T151" i="7"/>
  <c r="S151" i="7"/>
  <c r="R151" i="7"/>
  <c r="X150" i="7"/>
  <c r="W150" i="7"/>
  <c r="V150" i="7"/>
  <c r="U150" i="7"/>
  <c r="T150" i="7"/>
  <c r="S150" i="7"/>
  <c r="R150" i="7"/>
  <c r="X149" i="7"/>
  <c r="W149" i="7"/>
  <c r="V149" i="7"/>
  <c r="U149" i="7"/>
  <c r="T149" i="7"/>
  <c r="S149" i="7"/>
  <c r="R149" i="7"/>
  <c r="X148" i="7"/>
  <c r="W148" i="7"/>
  <c r="V148" i="7"/>
  <c r="U148" i="7"/>
  <c r="T148" i="7"/>
  <c r="S148" i="7"/>
  <c r="R148" i="7"/>
  <c r="S144" i="7"/>
  <c r="X138" i="7"/>
  <c r="W138" i="7"/>
  <c r="V138" i="7"/>
  <c r="U138" i="7"/>
  <c r="T138" i="7"/>
  <c r="S138" i="7"/>
  <c r="R138" i="7"/>
  <c r="X137" i="7"/>
  <c r="W137" i="7"/>
  <c r="V137" i="7"/>
  <c r="U137" i="7"/>
  <c r="T137" i="7"/>
  <c r="S137" i="7"/>
  <c r="R137" i="7"/>
  <c r="X136" i="7"/>
  <c r="W136" i="7"/>
  <c r="V136" i="7"/>
  <c r="U136" i="7"/>
  <c r="T136" i="7"/>
  <c r="S136" i="7"/>
  <c r="R136" i="7"/>
  <c r="X135" i="7"/>
  <c r="W135" i="7"/>
  <c r="V135" i="7"/>
  <c r="U135" i="7"/>
  <c r="T135" i="7"/>
  <c r="S135" i="7"/>
  <c r="R135" i="7"/>
  <c r="X134" i="7"/>
  <c r="W134" i="7"/>
  <c r="V134" i="7"/>
  <c r="U134" i="7"/>
  <c r="T134" i="7"/>
  <c r="S134" i="7"/>
  <c r="R134" i="7"/>
  <c r="S130" i="7"/>
  <c r="X124" i="7"/>
  <c r="W124" i="7"/>
  <c r="V124" i="7"/>
  <c r="U124" i="7"/>
  <c r="T124" i="7"/>
  <c r="S124" i="7"/>
  <c r="R124" i="7"/>
  <c r="X123" i="7"/>
  <c r="W123" i="7"/>
  <c r="V123" i="7"/>
  <c r="U123" i="7"/>
  <c r="T123" i="7"/>
  <c r="S123" i="7"/>
  <c r="R123" i="7"/>
  <c r="X122" i="7"/>
  <c r="W122" i="7"/>
  <c r="V122" i="7"/>
  <c r="U122" i="7"/>
  <c r="T122" i="7"/>
  <c r="S122" i="7"/>
  <c r="R122" i="7"/>
  <c r="X121" i="7"/>
  <c r="W121" i="7"/>
  <c r="V121" i="7"/>
  <c r="U121" i="7"/>
  <c r="T121" i="7"/>
  <c r="S121" i="7"/>
  <c r="R121" i="7"/>
  <c r="X120" i="7"/>
  <c r="W120" i="7"/>
  <c r="V120" i="7"/>
  <c r="U120" i="7"/>
  <c r="T120" i="7"/>
  <c r="S120" i="7"/>
  <c r="R120" i="7"/>
  <c r="S116" i="7"/>
  <c r="X110" i="7"/>
  <c r="W110" i="7"/>
  <c r="V110" i="7"/>
  <c r="U110" i="7"/>
  <c r="T110" i="7"/>
  <c r="S110" i="7"/>
  <c r="R110" i="7"/>
  <c r="X109" i="7"/>
  <c r="W109" i="7"/>
  <c r="V109" i="7"/>
  <c r="U109" i="7"/>
  <c r="T109" i="7"/>
  <c r="S109" i="7"/>
  <c r="R109" i="7"/>
  <c r="X108" i="7"/>
  <c r="W108" i="7"/>
  <c r="V108" i="7"/>
  <c r="U108" i="7"/>
  <c r="T108" i="7"/>
  <c r="S108" i="7"/>
  <c r="R108" i="7"/>
  <c r="X107" i="7"/>
  <c r="W107" i="7"/>
  <c r="V107" i="7"/>
  <c r="U107" i="7"/>
  <c r="T107" i="7"/>
  <c r="S107" i="7"/>
  <c r="R107" i="7"/>
  <c r="X106" i="7"/>
  <c r="W106" i="7"/>
  <c r="V106" i="7"/>
  <c r="U106" i="7"/>
  <c r="T106" i="7"/>
  <c r="S106" i="7"/>
  <c r="R106" i="7"/>
  <c r="S102" i="7"/>
  <c r="X96" i="7"/>
  <c r="W96" i="7"/>
  <c r="V96" i="7"/>
  <c r="U96" i="7"/>
  <c r="T96" i="7"/>
  <c r="S96" i="7"/>
  <c r="R96" i="7"/>
  <c r="X95" i="7"/>
  <c r="W95" i="7"/>
  <c r="V95" i="7"/>
  <c r="U95" i="7"/>
  <c r="T95" i="7"/>
  <c r="S95" i="7"/>
  <c r="R95" i="7"/>
  <c r="X94" i="7"/>
  <c r="W94" i="7"/>
  <c r="V94" i="7"/>
  <c r="U94" i="7"/>
  <c r="T94" i="7"/>
  <c r="S94" i="7"/>
  <c r="R94" i="7"/>
  <c r="X93" i="7"/>
  <c r="W93" i="7"/>
  <c r="V93" i="7"/>
  <c r="U93" i="7"/>
  <c r="T93" i="7"/>
  <c r="S93" i="7"/>
  <c r="R93" i="7"/>
  <c r="X92" i="7"/>
  <c r="W92" i="7"/>
  <c r="V92" i="7"/>
  <c r="U92" i="7"/>
  <c r="T92" i="7"/>
  <c r="S92" i="7"/>
  <c r="R92" i="7"/>
  <c r="S88" i="7"/>
  <c r="X82" i="7"/>
  <c r="W82" i="7"/>
  <c r="V82" i="7"/>
  <c r="U82" i="7"/>
  <c r="T82" i="7"/>
  <c r="S82" i="7"/>
  <c r="R82" i="7"/>
  <c r="X81" i="7"/>
  <c r="W81" i="7"/>
  <c r="V81" i="7"/>
  <c r="U81" i="7"/>
  <c r="T81" i="7"/>
  <c r="S81" i="7"/>
  <c r="R81" i="7"/>
  <c r="X80" i="7"/>
  <c r="W80" i="7"/>
  <c r="V80" i="7"/>
  <c r="U80" i="7"/>
  <c r="T80" i="7"/>
  <c r="S80" i="7"/>
  <c r="R80" i="7"/>
  <c r="X79" i="7"/>
  <c r="W79" i="7"/>
  <c r="V79" i="7"/>
  <c r="U79" i="7"/>
  <c r="T79" i="7"/>
  <c r="S79" i="7"/>
  <c r="R79" i="7"/>
  <c r="X78" i="7"/>
  <c r="W78" i="7"/>
  <c r="V78" i="7"/>
  <c r="U78" i="7"/>
  <c r="T78" i="7"/>
  <c r="S78" i="7"/>
  <c r="R78" i="7"/>
  <c r="S74" i="7"/>
  <c r="X68" i="7"/>
  <c r="W68" i="7"/>
  <c r="V68" i="7"/>
  <c r="U68" i="7"/>
  <c r="T68" i="7"/>
  <c r="S68" i="7"/>
  <c r="R68" i="7"/>
  <c r="X67" i="7"/>
  <c r="W67" i="7"/>
  <c r="V67" i="7"/>
  <c r="U67" i="7"/>
  <c r="T67" i="7"/>
  <c r="S67" i="7"/>
  <c r="R67" i="7"/>
  <c r="X66" i="7"/>
  <c r="W66" i="7"/>
  <c r="V66" i="7"/>
  <c r="U66" i="7"/>
  <c r="T66" i="7"/>
  <c r="S66" i="7"/>
  <c r="R66" i="7"/>
  <c r="X65" i="7"/>
  <c r="W65" i="7"/>
  <c r="V65" i="7"/>
  <c r="U65" i="7"/>
  <c r="T65" i="7"/>
  <c r="S65" i="7"/>
  <c r="R65" i="7"/>
  <c r="X64" i="7"/>
  <c r="W64" i="7"/>
  <c r="V64" i="7"/>
  <c r="U64" i="7"/>
  <c r="T64" i="7"/>
  <c r="S64" i="7"/>
  <c r="R64" i="7"/>
  <c r="S60" i="7"/>
  <c r="X54" i="7"/>
  <c r="W54" i="7"/>
  <c r="V54" i="7"/>
  <c r="U54" i="7"/>
  <c r="T54" i="7"/>
  <c r="S54" i="7"/>
  <c r="R54" i="7"/>
  <c r="X53" i="7"/>
  <c r="W53" i="7"/>
  <c r="V53" i="7"/>
  <c r="U53" i="7"/>
  <c r="T53" i="7"/>
  <c r="S53" i="7"/>
  <c r="R53" i="7"/>
  <c r="X52" i="7"/>
  <c r="W52" i="7"/>
  <c r="V52" i="7"/>
  <c r="U52" i="7"/>
  <c r="T52" i="7"/>
  <c r="S52" i="7"/>
  <c r="R52" i="7"/>
  <c r="X51" i="7"/>
  <c r="W51" i="7"/>
  <c r="V51" i="7"/>
  <c r="U51" i="7"/>
  <c r="T51" i="7"/>
  <c r="S51" i="7"/>
  <c r="R51" i="7"/>
  <c r="X50" i="7"/>
  <c r="W50" i="7"/>
  <c r="V50" i="7"/>
  <c r="U50" i="7"/>
  <c r="T50" i="7"/>
  <c r="S50" i="7"/>
  <c r="R50" i="7"/>
  <c r="S46" i="7"/>
  <c r="X40" i="7"/>
  <c r="W40" i="7"/>
  <c r="V40" i="7"/>
  <c r="U40" i="7"/>
  <c r="T40" i="7"/>
  <c r="S40" i="7"/>
  <c r="R40" i="7"/>
  <c r="X39" i="7"/>
  <c r="W39" i="7"/>
  <c r="V39" i="7"/>
  <c r="U39" i="7"/>
  <c r="T39" i="7"/>
  <c r="S39" i="7"/>
  <c r="R39" i="7"/>
  <c r="X38" i="7"/>
  <c r="W38" i="7"/>
  <c r="V38" i="7"/>
  <c r="U38" i="7"/>
  <c r="T38" i="7"/>
  <c r="S38" i="7"/>
  <c r="R38" i="7"/>
  <c r="X37" i="7"/>
  <c r="W37" i="7"/>
  <c r="V37" i="7"/>
  <c r="U37" i="7"/>
  <c r="T37" i="7"/>
  <c r="S37" i="7"/>
  <c r="R37" i="7"/>
  <c r="X36" i="7"/>
  <c r="W36" i="7"/>
  <c r="V36" i="7"/>
  <c r="U36" i="7"/>
  <c r="T36" i="7"/>
  <c r="S36" i="7"/>
  <c r="R36" i="7"/>
  <c r="S32" i="7"/>
  <c r="X26" i="7"/>
  <c r="W26" i="7"/>
  <c r="V26" i="7"/>
  <c r="U26" i="7"/>
  <c r="T26" i="7"/>
  <c r="S26" i="7"/>
  <c r="R26" i="7"/>
  <c r="X25" i="7"/>
  <c r="W25" i="7"/>
  <c r="V25" i="7"/>
  <c r="U25" i="7"/>
  <c r="T25" i="7"/>
  <c r="S25" i="7"/>
  <c r="R25" i="7"/>
  <c r="X24" i="7"/>
  <c r="W24" i="7"/>
  <c r="V24" i="7"/>
  <c r="U24" i="7"/>
  <c r="T24" i="7"/>
  <c r="S24" i="7"/>
  <c r="R24" i="7"/>
  <c r="X23" i="7"/>
  <c r="W23" i="7"/>
  <c r="V23" i="7"/>
  <c r="U23" i="7"/>
  <c r="T23" i="7"/>
  <c r="S23" i="7"/>
  <c r="R23" i="7"/>
  <c r="X22" i="7"/>
  <c r="W22" i="7"/>
  <c r="V22" i="7"/>
  <c r="U22" i="7"/>
  <c r="T22" i="7"/>
  <c r="S22" i="7"/>
  <c r="R22" i="7"/>
  <c r="S18" i="7"/>
  <c r="S4" i="7"/>
  <c r="S1" i="5"/>
  <c r="S8" i="7"/>
  <c r="T8" i="7"/>
  <c r="U8" i="7"/>
  <c r="V8" i="7"/>
  <c r="V1" i="7" s="1"/>
  <c r="W8" i="7"/>
  <c r="X8" i="7"/>
  <c r="S9" i="7"/>
  <c r="T9" i="7"/>
  <c r="U9" i="7"/>
  <c r="V9" i="7"/>
  <c r="W9" i="7"/>
  <c r="X9" i="7"/>
  <c r="S10" i="7"/>
  <c r="T10" i="7"/>
  <c r="U10" i="7"/>
  <c r="V10" i="7"/>
  <c r="W10" i="7"/>
  <c r="X10" i="7"/>
  <c r="S11" i="7"/>
  <c r="T11" i="7"/>
  <c r="U11" i="7"/>
  <c r="V11" i="7"/>
  <c r="W11" i="7"/>
  <c r="X11" i="7"/>
  <c r="S12" i="7"/>
  <c r="T12" i="7"/>
  <c r="U12" i="7"/>
  <c r="V12" i="7"/>
  <c r="W12" i="7"/>
  <c r="X12" i="7"/>
  <c r="R9" i="7"/>
  <c r="R10" i="7"/>
  <c r="R11" i="7"/>
  <c r="R12" i="7"/>
  <c r="R8" i="7"/>
  <c r="BZ7" i="35"/>
  <c r="AH17" i="35"/>
  <c r="Z17" i="35"/>
  <c r="CV44" i="35"/>
  <c r="Z10" i="35"/>
  <c r="BW18" i="35"/>
  <c r="BZ16" i="35"/>
  <c r="BZ14" i="35"/>
  <c r="Z8" i="35"/>
  <c r="BZ11" i="35"/>
  <c r="AH12" i="35"/>
  <c r="AH14" i="35"/>
  <c r="BZ52" i="35"/>
  <c r="Z52" i="35"/>
  <c r="AH52" i="35"/>
  <c r="BZ50" i="35"/>
  <c r="Z50" i="35"/>
  <c r="AH50" i="35"/>
  <c r="Z48" i="35"/>
  <c r="BZ48" i="35"/>
  <c r="AH48" i="35"/>
  <c r="Z42" i="35"/>
  <c r="AH42" i="35"/>
  <c r="BZ42" i="35"/>
  <c r="BZ39" i="35"/>
  <c r="Z39" i="35"/>
  <c r="AH39" i="35"/>
  <c r="Z37" i="35"/>
  <c r="BZ37" i="35"/>
  <c r="AH37" i="35"/>
  <c r="BZ34" i="35"/>
  <c r="Z34" i="35"/>
  <c r="AH34" i="35"/>
  <c r="BZ32" i="35"/>
  <c r="AH32" i="35"/>
  <c r="Z32" i="35"/>
  <c r="Z30" i="35"/>
  <c r="AH30" i="35"/>
  <c r="BZ30" i="35"/>
  <c r="BZ28" i="35"/>
  <c r="Z28" i="35"/>
  <c r="AH28" i="35"/>
  <c r="BZ26" i="35"/>
  <c r="Z26" i="35"/>
  <c r="AH26" i="35"/>
  <c r="BZ24" i="35"/>
  <c r="Z24" i="35"/>
  <c r="AH24" i="35"/>
  <c r="Z22" i="35"/>
  <c r="BZ22" i="35"/>
  <c r="AH22" i="35"/>
  <c r="BZ18" i="35"/>
  <c r="Z18" i="35"/>
  <c r="AH18" i="35"/>
  <c r="Z15" i="35"/>
  <c r="BZ15" i="35"/>
  <c r="AH15" i="35"/>
  <c r="AH10" i="35"/>
  <c r="CU37" i="35"/>
  <c r="BW59" i="35"/>
  <c r="BW48" i="35"/>
  <c r="AH7" i="35"/>
  <c r="Z7" i="35"/>
  <c r="BW20" i="35"/>
  <c r="Z14" i="35"/>
  <c r="BZ56" i="35"/>
  <c r="Z56" i="35"/>
  <c r="AH56" i="35"/>
  <c r="Z54" i="35"/>
  <c r="BZ54" i="35"/>
  <c r="AH54" i="35"/>
  <c r="Z47" i="35"/>
  <c r="BZ47" i="35"/>
  <c r="AH47" i="35"/>
  <c r="Z16" i="35"/>
  <c r="BZ12" i="35"/>
  <c r="BZ55" i="35"/>
  <c r="Z55" i="35"/>
  <c r="AH55" i="35"/>
  <c r="BW23" i="35"/>
  <c r="BZ53" i="35"/>
  <c r="Z53" i="35"/>
  <c r="AH53" i="35"/>
  <c r="Z46" i="35"/>
  <c r="BZ46" i="35"/>
  <c r="AH46" i="35"/>
  <c r="BW44" i="35"/>
  <c r="BZ6" i="35"/>
  <c r="BW35" i="35"/>
  <c r="Z11" i="35"/>
  <c r="Z9" i="35"/>
  <c r="AH11" i="35"/>
  <c r="BZ9" i="35"/>
  <c r="BW57" i="35"/>
  <c r="CV49" i="35"/>
  <c r="CU20" i="35"/>
  <c r="AH16" i="35"/>
  <c r="BZ45" i="35"/>
  <c r="Z45" i="35"/>
  <c r="AH45" i="35"/>
  <c r="BZ13" i="35"/>
  <c r="AH9" i="35"/>
  <c r="BW37" i="35"/>
  <c r="Z6" i="35"/>
  <c r="BZ10" i="35"/>
  <c r="CU59" i="35"/>
  <c r="Z12" i="35"/>
  <c r="BZ51" i="35"/>
  <c r="Z51" i="35"/>
  <c r="AH51" i="35"/>
  <c r="BZ43" i="35"/>
  <c r="Z43" i="35"/>
  <c r="AH43" i="35"/>
  <c r="BZ41" i="35"/>
  <c r="Z41" i="35"/>
  <c r="AH41" i="35"/>
  <c r="Z40" i="35"/>
  <c r="BZ40" i="35"/>
  <c r="AH40" i="35"/>
  <c r="BZ38" i="35"/>
  <c r="Z38" i="35"/>
  <c r="AH38" i="35"/>
  <c r="BZ36" i="35"/>
  <c r="Z36" i="35"/>
  <c r="AH36" i="35"/>
  <c r="BZ35" i="35"/>
  <c r="AH35" i="35"/>
  <c r="Z35" i="35"/>
  <c r="BZ33" i="35"/>
  <c r="Z33" i="35"/>
  <c r="AH33" i="35"/>
  <c r="Z31" i="35"/>
  <c r="AH31" i="35"/>
  <c r="BZ29" i="35"/>
  <c r="AH29" i="35"/>
  <c r="Z29" i="35"/>
  <c r="Z27" i="35"/>
  <c r="BZ27" i="35"/>
  <c r="AH27" i="35"/>
  <c r="Z25" i="35"/>
  <c r="BZ25" i="35"/>
  <c r="AH25" i="35"/>
  <c r="BZ23" i="35"/>
  <c r="Z23" i="35"/>
  <c r="AH23" i="35"/>
  <c r="Z21" i="35"/>
  <c r="BZ21" i="35"/>
  <c r="AH21" i="35"/>
  <c r="BZ20" i="35"/>
  <c r="Z20" i="35"/>
  <c r="AH20" i="35"/>
  <c r="Z19" i="35"/>
  <c r="BZ19" i="35"/>
  <c r="AH19" i="35"/>
  <c r="Z13" i="35"/>
  <c r="AH13" i="35"/>
  <c r="AH8" i="35"/>
  <c r="BZ17" i="35"/>
  <c r="BW19" i="35"/>
  <c r="AH6" i="35"/>
  <c r="BW49" i="35"/>
  <c r="BW58" i="35"/>
  <c r="BZ8" i="35"/>
  <c r="T1" i="13" l="1"/>
  <c r="T1" i="7"/>
  <c r="U1" i="12"/>
  <c r="U1" i="13"/>
  <c r="U1" i="14"/>
  <c r="U1" i="16"/>
  <c r="S1" i="18"/>
  <c r="T1" i="20"/>
  <c r="V1" i="18"/>
  <c r="S1" i="7"/>
  <c r="V1" i="12"/>
  <c r="V1" i="13"/>
  <c r="V1" i="14"/>
  <c r="R1" i="15"/>
  <c r="V1" i="16"/>
  <c r="U1" i="20"/>
  <c r="S1" i="24"/>
  <c r="W1" i="18"/>
  <c r="R1" i="20"/>
  <c r="R1" i="7"/>
  <c r="T1" i="12"/>
  <c r="U1" i="18"/>
  <c r="W1" i="12"/>
  <c r="W1" i="13"/>
  <c r="W1" i="14"/>
  <c r="S1" i="15"/>
  <c r="W1" i="16"/>
  <c r="V1" i="20"/>
  <c r="X1" i="18"/>
  <c r="T1" i="16"/>
  <c r="X1" i="12"/>
  <c r="X1" i="13"/>
  <c r="X1" i="14"/>
  <c r="T1" i="15"/>
  <c r="X1" i="16"/>
  <c r="W1" i="20"/>
  <c r="T1" i="14"/>
  <c r="X1" i="15"/>
  <c r="X1" i="7"/>
  <c r="U1" i="15"/>
  <c r="X1" i="20"/>
  <c r="R1" i="18"/>
  <c r="U1" i="7"/>
  <c r="W1" i="7"/>
  <c r="R1" i="12"/>
  <c r="R1" i="13"/>
  <c r="R1" i="14"/>
  <c r="V1" i="15"/>
  <c r="R1" i="16"/>
  <c r="S1" i="20"/>
  <c r="AJ7" i="35"/>
  <c r="AK7" i="35"/>
  <c r="CC13" i="35"/>
  <c r="AE7" i="35"/>
  <c r="CB7" i="35"/>
  <c r="AK13" i="35"/>
  <c r="AF13" i="35"/>
  <c r="AJ13" i="35"/>
  <c r="CD7" i="35"/>
  <c r="CB13" i="35"/>
  <c r="CD13" i="35"/>
  <c r="AF7" i="35"/>
  <c r="AO7" i="35"/>
  <c r="CG13" i="35"/>
  <c r="AI13" i="35"/>
  <c r="AL7" i="35"/>
  <c r="CF13" i="35"/>
  <c r="AD7" i="35"/>
  <c r="AC13" i="35"/>
  <c r="CF7" i="35"/>
  <c r="AM13" i="35"/>
  <c r="AA7" i="35"/>
  <c r="AL13" i="35"/>
  <c r="CA13" i="35"/>
  <c r="AG7" i="35"/>
  <c r="AI7" i="35"/>
  <c r="AO13" i="35"/>
  <c r="AN13" i="35"/>
  <c r="AB13" i="35"/>
  <c r="CA7" i="35"/>
  <c r="AA13" i="35"/>
  <c r="CE7" i="35"/>
  <c r="CG7" i="35"/>
  <c r="AN7" i="35"/>
  <c r="CE13" i="35"/>
  <c r="AE13" i="35"/>
  <c r="AB7" i="35"/>
  <c r="AD13" i="35"/>
  <c r="AG13" i="35"/>
  <c r="CC7" i="35"/>
  <c r="AC7" i="35"/>
  <c r="AM7" i="35"/>
  <c r="AI21" i="35"/>
  <c r="CB21" i="35"/>
  <c r="AA21" i="35"/>
  <c r="AK25" i="35"/>
  <c r="CE25" i="35"/>
  <c r="AB25" i="35"/>
  <c r="AO27" i="35"/>
  <c r="AG27" i="35"/>
  <c r="AD29" i="35"/>
  <c r="AK29" i="35"/>
  <c r="CD29" i="35"/>
  <c r="AM31" i="35"/>
  <c r="AA31" i="35"/>
  <c r="AO33" i="35"/>
  <c r="CB33" i="35"/>
  <c r="AJ36" i="35"/>
  <c r="AA36" i="35"/>
  <c r="CD36" i="35"/>
  <c r="AM38" i="35"/>
  <c r="AC38" i="35"/>
  <c r="CG38" i="35"/>
  <c r="CA40" i="35"/>
  <c r="AA40" i="35"/>
  <c r="AK41" i="35"/>
  <c r="AG41" i="35"/>
  <c r="CE41" i="35"/>
  <c r="AN43" i="35"/>
  <c r="AC43" i="35"/>
  <c r="AI51" i="35"/>
  <c r="AC51" i="35"/>
  <c r="CC51" i="35"/>
  <c r="AL45" i="35"/>
  <c r="AA45" i="35"/>
  <c r="CF45" i="35"/>
  <c r="AO46" i="35"/>
  <c r="AB46" i="35"/>
  <c r="AJ53" i="35"/>
  <c r="AB53" i="35"/>
  <c r="CD53" i="35"/>
  <c r="AM55" i="35"/>
  <c r="AE55" i="35"/>
  <c r="CG55" i="35"/>
  <c r="CB47" i="35"/>
  <c r="AB47" i="35"/>
  <c r="AK54" i="35"/>
  <c r="CD54" i="35"/>
  <c r="AG54" i="35"/>
  <c r="AN56" i="35"/>
  <c r="AG56" i="35"/>
  <c r="AI15" i="35"/>
  <c r="CC15" i="35"/>
  <c r="AG15" i="35"/>
  <c r="AL22" i="35"/>
  <c r="CE22" i="35"/>
  <c r="AC22" i="35"/>
  <c r="AO24" i="35"/>
  <c r="CB24" i="35"/>
  <c r="AJ26" i="35"/>
  <c r="AF26" i="35"/>
  <c r="CD26" i="35"/>
  <c r="AM28" i="35"/>
  <c r="AB28" i="35"/>
  <c r="CG28" i="35"/>
  <c r="AI30" i="35"/>
  <c r="AG30" i="35"/>
  <c r="AD32" i="35"/>
  <c r="AJ32" i="35"/>
  <c r="CD32" i="35"/>
  <c r="AN34" i="35"/>
  <c r="AC34" i="35"/>
  <c r="AI39" i="35"/>
  <c r="AC39" i="35"/>
  <c r="CB39" i="35"/>
  <c r="CD42" i="35"/>
  <c r="AM42" i="35"/>
  <c r="AB42" i="35"/>
  <c r="AO50" i="35"/>
  <c r="CA50" i="35"/>
  <c r="AJ52" i="35"/>
  <c r="AD52" i="35"/>
  <c r="CD52" i="35"/>
  <c r="AD8" i="35"/>
  <c r="CG9" i="35"/>
  <c r="CE12" i="35"/>
  <c r="AJ21" i="35"/>
  <c r="CC21" i="35"/>
  <c r="AB21" i="35"/>
  <c r="AN25" i="35"/>
  <c r="CF25" i="35"/>
  <c r="AC25" i="35"/>
  <c r="CA27" i="35"/>
  <c r="AA27" i="35"/>
  <c r="AC29" i="35"/>
  <c r="AL29" i="35"/>
  <c r="CE29" i="35"/>
  <c r="AN31" i="35"/>
  <c r="AC31" i="35"/>
  <c r="AE33" i="35"/>
  <c r="CA33" i="35"/>
  <c r="AK36" i="35"/>
  <c r="AF36" i="35"/>
  <c r="CE36" i="35"/>
  <c r="AN38" i="35"/>
  <c r="AG38" i="35"/>
  <c r="AI40" i="35"/>
  <c r="CB40" i="35"/>
  <c r="AF40" i="35"/>
  <c r="AL41" i="35"/>
  <c r="AD41" i="35"/>
  <c r="CF41" i="35"/>
  <c r="AO43" i="35"/>
  <c r="CB43" i="35"/>
  <c r="AJ51" i="35"/>
  <c r="AB51" i="35"/>
  <c r="CD51" i="35"/>
  <c r="AM45" i="35"/>
  <c r="AC45" i="35"/>
  <c r="CG45" i="35"/>
  <c r="CA46" i="35"/>
  <c r="AE46" i="35"/>
  <c r="AK53" i="35"/>
  <c r="AD53" i="35"/>
  <c r="CE53" i="35"/>
  <c r="AN55" i="35"/>
  <c r="AD55" i="35"/>
  <c r="AI47" i="35"/>
  <c r="CA47" i="35"/>
  <c r="AC47" i="35"/>
  <c r="AL54" i="35"/>
  <c r="CE54" i="35"/>
  <c r="AD54" i="35"/>
  <c r="AO56" i="35"/>
  <c r="CA56" i="35"/>
  <c r="AJ15" i="35"/>
  <c r="CD15" i="35"/>
  <c r="AE15" i="35"/>
  <c r="AM22" i="35"/>
  <c r="CF22" i="35"/>
  <c r="AB22" i="35"/>
  <c r="AD24" i="35"/>
  <c r="CA24" i="35"/>
  <c r="AK26" i="35"/>
  <c r="AG26" i="35"/>
  <c r="CE26" i="35"/>
  <c r="AN28" i="35"/>
  <c r="AF28" i="35"/>
  <c r="CA30" i="35"/>
  <c r="AJ30" i="35"/>
  <c r="AC30" i="35"/>
  <c r="AF32" i="35"/>
  <c r="AL32" i="35"/>
  <c r="CF32" i="35"/>
  <c r="AO34" i="35"/>
  <c r="CA34" i="35"/>
  <c r="AK39" i="35"/>
  <c r="AG39" i="35"/>
  <c r="CG39" i="35"/>
  <c r="CE42" i="35"/>
  <c r="AN42" i="35"/>
  <c r="AG42" i="35"/>
  <c r="AC50" i="35"/>
  <c r="CD50" i="35"/>
  <c r="AK52" i="35"/>
  <c r="AF52" i="35"/>
  <c r="CE52" i="35"/>
  <c r="AB9" i="35"/>
  <c r="AM16" i="35"/>
  <c r="CB11" i="35"/>
  <c r="CG11" i="35"/>
  <c r="CD17" i="35"/>
  <c r="AI9" i="35"/>
  <c r="AJ11" i="35"/>
  <c r="AN10" i="35"/>
  <c r="AO16" i="35"/>
  <c r="CU23" i="35"/>
  <c r="AO9" i="35"/>
  <c r="AK21" i="35"/>
  <c r="CD21" i="35"/>
  <c r="AE21" i="35"/>
  <c r="AI25" i="35"/>
  <c r="CG25" i="35"/>
  <c r="AI27" i="35"/>
  <c r="CB27" i="35"/>
  <c r="AE27" i="35"/>
  <c r="AF29" i="35"/>
  <c r="AM29" i="35"/>
  <c r="CF29" i="35"/>
  <c r="AO31" i="35"/>
  <c r="AI33" i="35"/>
  <c r="AC33" i="35"/>
  <c r="CC33" i="35"/>
  <c r="AL36" i="35"/>
  <c r="AD36" i="35"/>
  <c r="CF36" i="35"/>
  <c r="AO38" i="35"/>
  <c r="CA38" i="35"/>
  <c r="AJ40" i="35"/>
  <c r="CC40" i="35"/>
  <c r="AC40" i="35"/>
  <c r="AM41" i="35"/>
  <c r="AE41" i="35"/>
  <c r="CG41" i="35"/>
  <c r="AF43" i="35"/>
  <c r="CA43" i="35"/>
  <c r="AK51" i="35"/>
  <c r="AF51" i="35"/>
  <c r="CE51" i="35"/>
  <c r="AN45" i="35"/>
  <c r="AE45" i="35"/>
  <c r="AI46" i="35"/>
  <c r="CB46" i="35"/>
  <c r="AD46" i="35"/>
  <c r="AL53" i="35"/>
  <c r="AA53" i="35"/>
  <c r="CF53" i="35"/>
  <c r="AO55" i="35"/>
  <c r="CA55" i="35"/>
  <c r="AJ47" i="35"/>
  <c r="CC47" i="35"/>
  <c r="AD47" i="35"/>
  <c r="AM54" i="35"/>
  <c r="CF54" i="35"/>
  <c r="AF54" i="35"/>
  <c r="AC56" i="35"/>
  <c r="CB56" i="35"/>
  <c r="AK15" i="35"/>
  <c r="CE15" i="35"/>
  <c r="AA15" i="35"/>
  <c r="AN22" i="35"/>
  <c r="CG22" i="35"/>
  <c r="AI24" i="35"/>
  <c r="AC24" i="35"/>
  <c r="CC24" i="35"/>
  <c r="AL26" i="35"/>
  <c r="AE26" i="35"/>
  <c r="CF26" i="35"/>
  <c r="AO28" i="35"/>
  <c r="CA28" i="35"/>
  <c r="CB30" i="35"/>
  <c r="AK30" i="35"/>
  <c r="AA30" i="35"/>
  <c r="AC32" i="35"/>
  <c r="AI32" i="35"/>
  <c r="CA32" i="35"/>
  <c r="AA34" i="35"/>
  <c r="CB34" i="35"/>
  <c r="AO39" i="35"/>
  <c r="AD39" i="35"/>
  <c r="CE39" i="35"/>
  <c r="CF42" i="35"/>
  <c r="AO42" i="35"/>
  <c r="AI50" i="35"/>
  <c r="AE50" i="35"/>
  <c r="CB50" i="35"/>
  <c r="AL52" i="35"/>
  <c r="AE52" i="35"/>
  <c r="CF52" i="35"/>
  <c r="AF12" i="35"/>
  <c r="AF17" i="35"/>
  <c r="CA6" i="35"/>
  <c r="CA16" i="35"/>
  <c r="CE14" i="35"/>
  <c r="AE11" i="35"/>
  <c r="AC17" i="35"/>
  <c r="AA14" i="35"/>
  <c r="AG17" i="35"/>
  <c r="AM11" i="35"/>
  <c r="AF8" i="35"/>
  <c r="AA10" i="35"/>
  <c r="CC11" i="35"/>
  <c r="AL10" i="35"/>
  <c r="AC6" i="35"/>
  <c r="AJ9" i="35"/>
  <c r="AE10" i="35"/>
  <c r="AB6" i="35"/>
  <c r="AN11" i="35"/>
  <c r="CB16" i="35"/>
  <c r="CB6" i="35"/>
  <c r="AJ6" i="35"/>
  <c r="AA11" i="35"/>
  <c r="CC12" i="35"/>
  <c r="AG14" i="35"/>
  <c r="AC8" i="35"/>
  <c r="AL6" i="35"/>
  <c r="AJ10" i="35"/>
  <c r="AL21" i="35"/>
  <c r="CE21" i="35"/>
  <c r="AG21" i="35"/>
  <c r="AL25" i="35"/>
  <c r="AF25" i="35"/>
  <c r="AJ27" i="35"/>
  <c r="CC27" i="35"/>
  <c r="AD27" i="35"/>
  <c r="AE29" i="35"/>
  <c r="AN29" i="35"/>
  <c r="CG29" i="35"/>
  <c r="AF31" i="35"/>
  <c r="AJ33" i="35"/>
  <c r="AD33" i="35"/>
  <c r="CD33" i="35"/>
  <c r="AM36" i="35"/>
  <c r="AB36" i="35"/>
  <c r="CG36" i="35"/>
  <c r="AB38" i="35"/>
  <c r="CB38" i="35"/>
  <c r="AK40" i="35"/>
  <c r="CD40" i="35"/>
  <c r="AG40" i="35"/>
  <c r="AN41" i="35"/>
  <c r="AA41" i="35"/>
  <c r="AI43" i="35"/>
  <c r="AA43" i="35"/>
  <c r="CC43" i="35"/>
  <c r="AL51" i="35"/>
  <c r="AE51" i="35"/>
  <c r="CF51" i="35"/>
  <c r="AO45" i="35"/>
  <c r="CA45" i="35"/>
  <c r="AJ46" i="35"/>
  <c r="CC46" i="35"/>
  <c r="AF46" i="35"/>
  <c r="AM53" i="35"/>
  <c r="AC53" i="35"/>
  <c r="CG53" i="35"/>
  <c r="AB55" i="35"/>
  <c r="CB55" i="35"/>
  <c r="AK47" i="35"/>
  <c r="CD47" i="35"/>
  <c r="AG47" i="35"/>
  <c r="AN54" i="35"/>
  <c r="CG54" i="35"/>
  <c r="AI56" i="35"/>
  <c r="AA56" i="35"/>
  <c r="CC56" i="35"/>
  <c r="AL15" i="35"/>
  <c r="CF15" i="35"/>
  <c r="AC15" i="35"/>
  <c r="AO22" i="35"/>
  <c r="AD22" i="35"/>
  <c r="AJ24" i="35"/>
  <c r="AA24" i="35"/>
  <c r="CD24" i="35"/>
  <c r="AM26" i="35"/>
  <c r="AC26" i="35"/>
  <c r="CG26" i="35"/>
  <c r="AD28" i="35"/>
  <c r="CB28" i="35"/>
  <c r="CC30" i="35"/>
  <c r="AL30" i="35"/>
  <c r="AE30" i="35"/>
  <c r="AG32" i="35"/>
  <c r="AK32" i="35"/>
  <c r="AI34" i="35"/>
  <c r="AG34" i="35"/>
  <c r="CC34" i="35"/>
  <c r="AJ39" i="35"/>
  <c r="AF39" i="35"/>
  <c r="CF39" i="35"/>
  <c r="CG42" i="35"/>
  <c r="AA42" i="35"/>
  <c r="AJ50" i="35"/>
  <c r="AG50" i="35"/>
  <c r="CF50" i="35"/>
  <c r="AM52" i="35"/>
  <c r="AA52" i="35"/>
  <c r="CG52" i="35"/>
  <c r="AJ12" i="35"/>
  <c r="AK11" i="35"/>
  <c r="AK8" i="35"/>
  <c r="AI17" i="35"/>
  <c r="AG8" i="35"/>
  <c r="AI8" i="35"/>
  <c r="CC8" i="35"/>
  <c r="CF10" i="35"/>
  <c r="AI14" i="35"/>
  <c r="AF9" i="35"/>
  <c r="AI11" i="35"/>
  <c r="CE11" i="35"/>
  <c r="AJ16" i="35"/>
  <c r="AO12" i="35"/>
  <c r="AO17" i="35"/>
  <c r="AE16" i="35"/>
  <c r="CU58" i="35"/>
  <c r="AD16" i="35"/>
  <c r="AD9" i="35"/>
  <c r="CB9" i="35"/>
  <c r="CG16" i="35"/>
  <c r="CA10" i="35"/>
  <c r="AM21" i="35"/>
  <c r="CF21" i="35"/>
  <c r="AD21" i="35"/>
  <c r="CA25" i="35"/>
  <c r="AD25" i="35"/>
  <c r="AK27" i="35"/>
  <c r="CD27" i="35"/>
  <c r="AB27" i="35"/>
  <c r="AB29" i="35"/>
  <c r="AO29" i="35"/>
  <c r="AI31" i="35"/>
  <c r="AG31" i="35"/>
  <c r="AK33" i="35"/>
  <c r="AA33" i="35"/>
  <c r="CE33" i="35"/>
  <c r="AN36" i="35"/>
  <c r="AG36" i="35"/>
  <c r="AI38" i="35"/>
  <c r="AD38" i="35"/>
  <c r="CC38" i="35"/>
  <c r="AL40" i="35"/>
  <c r="CE40" i="35"/>
  <c r="AD40" i="35"/>
  <c r="AO41" i="35"/>
  <c r="CA41" i="35"/>
  <c r="AJ43" i="35"/>
  <c r="AD43" i="35"/>
  <c r="CD43" i="35"/>
  <c r="AM51" i="35"/>
  <c r="AG51" i="35"/>
  <c r="CG51" i="35"/>
  <c r="AF45" i="35"/>
  <c r="CB45" i="35"/>
  <c r="AK46" i="35"/>
  <c r="CD46" i="35"/>
  <c r="AG46" i="35"/>
  <c r="AN53" i="35"/>
  <c r="AF53" i="35"/>
  <c r="AI55" i="35"/>
  <c r="AF55" i="35"/>
  <c r="CC55" i="35"/>
  <c r="AL47" i="35"/>
  <c r="CE47" i="35"/>
  <c r="AE47" i="35"/>
  <c r="AO54" i="35"/>
  <c r="AE54" i="35"/>
  <c r="AJ56" i="35"/>
  <c r="AE56" i="35"/>
  <c r="CD56" i="35"/>
  <c r="AM15" i="35"/>
  <c r="CG15" i="35"/>
  <c r="AB15" i="35"/>
  <c r="CA22" i="35"/>
  <c r="AA22" i="35"/>
  <c r="AK24" i="35"/>
  <c r="AB24" i="35"/>
  <c r="CE24" i="35"/>
  <c r="AN26" i="35"/>
  <c r="AA26" i="35"/>
  <c r="AI28" i="35"/>
  <c r="AA28" i="35"/>
  <c r="CC28" i="35"/>
  <c r="CD30" i="35"/>
  <c r="AM30" i="35"/>
  <c r="AB30" i="35"/>
  <c r="AA32" i="35"/>
  <c r="CB32" i="35"/>
  <c r="AJ34" i="35"/>
  <c r="AE34" i="35"/>
  <c r="CD34" i="35"/>
  <c r="AN39" i="35"/>
  <c r="AE39" i="35"/>
  <c r="CA39" i="35"/>
  <c r="AI42" i="35"/>
  <c r="AF42" i="35"/>
  <c r="AK50" i="35"/>
  <c r="AF50" i="35"/>
  <c r="CE50" i="35"/>
  <c r="AN52" i="35"/>
  <c r="AG52" i="35"/>
  <c r="AI12" i="35"/>
  <c r="AK10" i="35"/>
  <c r="AM9" i="35"/>
  <c r="AM6" i="35"/>
  <c r="AB16" i="35"/>
  <c r="AD14" i="35"/>
  <c r="AG10" i="35"/>
  <c r="CG10" i="35"/>
  <c r="CU19" i="35"/>
  <c r="AE12" i="35"/>
  <c r="AO11" i="35"/>
  <c r="CC10" i="35"/>
  <c r="AN16" i="35"/>
  <c r="CC14" i="35"/>
  <c r="AO10" i="35"/>
  <c r="AE8" i="35"/>
  <c r="CG12" i="35"/>
  <c r="CA12" i="35"/>
  <c r="CA14" i="35"/>
  <c r="AC12" i="35"/>
  <c r="CB12" i="35"/>
  <c r="CA11" i="35"/>
  <c r="CF17" i="35"/>
  <c r="AN21" i="35"/>
  <c r="CG21" i="35"/>
  <c r="AO25" i="35"/>
  <c r="CB25" i="35"/>
  <c r="AG25" i="35"/>
  <c r="AL27" i="35"/>
  <c r="CE27" i="35"/>
  <c r="AC27" i="35"/>
  <c r="AG29" i="35"/>
  <c r="CC29" i="35"/>
  <c r="AJ31" i="35"/>
  <c r="AE31" i="35"/>
  <c r="AL33" i="35"/>
  <c r="AG33" i="35"/>
  <c r="CF33" i="35"/>
  <c r="AO36" i="35"/>
  <c r="CA36" i="35"/>
  <c r="AJ38" i="35"/>
  <c r="AF38" i="35"/>
  <c r="CD38" i="35"/>
  <c r="AM40" i="35"/>
  <c r="CF40" i="35"/>
  <c r="AB40" i="35"/>
  <c r="AC41" i="35"/>
  <c r="CB41" i="35"/>
  <c r="AK43" i="35"/>
  <c r="AB43" i="35"/>
  <c r="CE43" i="35"/>
  <c r="AN51" i="35"/>
  <c r="AA51" i="35"/>
  <c r="AI45" i="35"/>
  <c r="AB45" i="35"/>
  <c r="CC45" i="35"/>
  <c r="AL46" i="35"/>
  <c r="CE46" i="35"/>
  <c r="AA46" i="35"/>
  <c r="AO53" i="35"/>
  <c r="CB53" i="35"/>
  <c r="AJ55" i="35"/>
  <c r="AG55" i="35"/>
  <c r="CD55" i="35"/>
  <c r="AM47" i="35"/>
  <c r="CF47" i="35"/>
  <c r="AF47" i="35"/>
  <c r="CB54" i="35"/>
  <c r="AB54" i="35"/>
  <c r="AK56" i="35"/>
  <c r="AB56" i="35"/>
  <c r="CE56" i="35"/>
  <c r="AN15" i="35"/>
  <c r="CB15" i="35"/>
  <c r="AI22" i="35"/>
  <c r="CB22" i="35"/>
  <c r="AG22" i="35"/>
  <c r="AL24" i="35"/>
  <c r="AE24" i="35"/>
  <c r="CF24" i="35"/>
  <c r="AO26" i="35"/>
  <c r="CB26" i="35"/>
  <c r="AJ28" i="35"/>
  <c r="AC28" i="35"/>
  <c r="CD28" i="35"/>
  <c r="CE30" i="35"/>
  <c r="AN30" i="35"/>
  <c r="AD30" i="35"/>
  <c r="AO32" i="35"/>
  <c r="CE32" i="35"/>
  <c r="AK34" i="35"/>
  <c r="AB34" i="35"/>
  <c r="CE34" i="35"/>
  <c r="AL39" i="35"/>
  <c r="AA39" i="35"/>
  <c r="CA42" i="35"/>
  <c r="AJ42" i="35"/>
  <c r="AD42" i="35"/>
  <c r="AL50" i="35"/>
  <c r="AA50" i="35"/>
  <c r="CC50" i="35"/>
  <c r="AO52" i="35"/>
  <c r="CA52" i="35"/>
  <c r="CC17" i="35"/>
  <c r="CB8" i="35"/>
  <c r="AB11" i="35"/>
  <c r="AO21" i="35"/>
  <c r="AF21" i="35"/>
  <c r="AM25" i="35"/>
  <c r="CC25" i="35"/>
  <c r="AE25" i="35"/>
  <c r="AM27" i="35"/>
  <c r="CF27" i="35"/>
  <c r="AF27" i="35"/>
  <c r="AI29" i="35"/>
  <c r="CB29" i="35"/>
  <c r="AK31" i="35"/>
  <c r="AB31" i="35"/>
  <c r="AM33" i="35"/>
  <c r="AB33" i="35"/>
  <c r="CG33" i="35"/>
  <c r="AC36" i="35"/>
  <c r="CB36" i="35"/>
  <c r="AK38" i="35"/>
  <c r="AA38" i="35"/>
  <c r="CE38" i="35"/>
  <c r="AN40" i="35"/>
  <c r="CG40" i="35"/>
  <c r="AI41" i="35"/>
  <c r="AF41" i="35"/>
  <c r="CC41" i="35"/>
  <c r="AL43" i="35"/>
  <c r="AE43" i="35"/>
  <c r="CF43" i="35"/>
  <c r="AO51" i="35"/>
  <c r="CB51" i="35"/>
  <c r="AJ45" i="35"/>
  <c r="AD45" i="35"/>
  <c r="CD45" i="35"/>
  <c r="AM46" i="35"/>
  <c r="CF46" i="35"/>
  <c r="AC46" i="35"/>
  <c r="AE53" i="35"/>
  <c r="CA53" i="35"/>
  <c r="AK55" i="35"/>
  <c r="AA55" i="35"/>
  <c r="CE55" i="35"/>
  <c r="AN47" i="35"/>
  <c r="CG47" i="35"/>
  <c r="AI54" i="35"/>
  <c r="CA54" i="35"/>
  <c r="AC54" i="35"/>
  <c r="AL56" i="35"/>
  <c r="AD56" i="35"/>
  <c r="CF56" i="35"/>
  <c r="AO15" i="35"/>
  <c r="AF15" i="35"/>
  <c r="AJ22" i="35"/>
  <c r="CC22" i="35"/>
  <c r="AF22" i="35"/>
  <c r="AM24" i="35"/>
  <c r="AF24" i="35"/>
  <c r="CG24" i="35"/>
  <c r="AB26" i="35"/>
  <c r="CA26" i="35"/>
  <c r="AK28" i="35"/>
  <c r="AE28" i="35"/>
  <c r="CE28" i="35"/>
  <c r="CF30" i="35"/>
  <c r="AO30" i="35"/>
  <c r="AE32" i="35"/>
  <c r="AN32" i="35"/>
  <c r="CG32" i="35"/>
  <c r="AL34" i="35"/>
  <c r="AD34" i="35"/>
  <c r="CF34" i="35"/>
  <c r="AM39" i="35"/>
  <c r="CC39" i="35"/>
  <c r="CB42" i="35"/>
  <c r="AK42" i="35"/>
  <c r="AC42" i="35"/>
  <c r="AM50" i="35"/>
  <c r="AD50" i="35"/>
  <c r="CG50" i="35"/>
  <c r="AB52" i="35"/>
  <c r="CB52" i="35"/>
  <c r="AA17" i="35"/>
  <c r="AA9" i="35"/>
  <c r="AL12" i="35"/>
  <c r="AG16" i="35"/>
  <c r="AE9" i="35"/>
  <c r="CE6" i="35"/>
  <c r="AC10" i="35"/>
  <c r="AA12" i="35"/>
  <c r="CA21" i="35"/>
  <c r="AC21" i="35"/>
  <c r="AJ25" i="35"/>
  <c r="CD25" i="35"/>
  <c r="AA25" i="35"/>
  <c r="AN27" i="35"/>
  <c r="CG27" i="35"/>
  <c r="AA29" i="35"/>
  <c r="AJ29" i="35"/>
  <c r="CA29" i="35"/>
  <c r="AL31" i="35"/>
  <c r="AD31" i="35"/>
  <c r="AN33" i="35"/>
  <c r="AF33" i="35"/>
  <c r="AI36" i="35"/>
  <c r="AE36" i="35"/>
  <c r="CC36" i="35"/>
  <c r="AL38" i="35"/>
  <c r="AE38" i="35"/>
  <c r="CF38" i="35"/>
  <c r="AO40" i="35"/>
  <c r="AE40" i="35"/>
  <c r="AJ41" i="35"/>
  <c r="AB41" i="35"/>
  <c r="CD41" i="35"/>
  <c r="AM43" i="35"/>
  <c r="AG43" i="35"/>
  <c r="CG43" i="35"/>
  <c r="AD51" i="35"/>
  <c r="CA51" i="35"/>
  <c r="AK45" i="35"/>
  <c r="AG45" i="35"/>
  <c r="CE45" i="35"/>
  <c r="AN46" i="35"/>
  <c r="CG46" i="35"/>
  <c r="AI53" i="35"/>
  <c r="AG53" i="35"/>
  <c r="CC53" i="35"/>
  <c r="AL55" i="35"/>
  <c r="AC55" i="35"/>
  <c r="CF55" i="35"/>
  <c r="AO47" i="35"/>
  <c r="AA47" i="35"/>
  <c r="AJ54" i="35"/>
  <c r="CC54" i="35"/>
  <c r="AA54" i="35"/>
  <c r="AM56" i="35"/>
  <c r="AF56" i="35"/>
  <c r="CG56" i="35"/>
  <c r="CA15" i="35"/>
  <c r="AD15" i="35"/>
  <c r="AK22" i="35"/>
  <c r="CD22" i="35"/>
  <c r="AE22" i="35"/>
  <c r="AN24" i="35"/>
  <c r="AG24" i="35"/>
  <c r="AI26" i="35"/>
  <c r="AD26" i="35"/>
  <c r="CC26" i="35"/>
  <c r="AL28" i="35"/>
  <c r="AG28" i="35"/>
  <c r="CF28" i="35"/>
  <c r="CG30" i="35"/>
  <c r="AF30" i="35"/>
  <c r="AB32" i="35"/>
  <c r="AM32" i="35"/>
  <c r="CC32" i="35"/>
  <c r="AM34" i="35"/>
  <c r="AF34" i="35"/>
  <c r="CG34" i="35"/>
  <c r="AB39" i="35"/>
  <c r="CD39" i="35"/>
  <c r="CC42" i="35"/>
  <c r="AL42" i="35"/>
  <c r="AE42" i="35"/>
  <c r="AN50" i="35"/>
  <c r="AB50" i="35"/>
  <c r="AI52" i="35"/>
  <c r="AC52" i="35"/>
  <c r="CC52" i="35"/>
  <c r="AF10" i="35"/>
  <c r="CG8" i="35"/>
  <c r="AI6" i="35"/>
  <c r="CG17" i="35"/>
  <c r="AG12" i="35"/>
  <c r="AG9" i="35"/>
  <c r="AO6" i="35"/>
  <c r="CF11" i="35"/>
  <c r="AL8" i="35"/>
  <c r="AB17" i="35"/>
  <c r="AN9" i="35"/>
  <c r="AN14" i="35"/>
  <c r="AA16" i="35"/>
  <c r="AD17" i="35"/>
  <c r="AC16" i="35"/>
  <c r="CU48" i="35"/>
  <c r="AG11" i="35"/>
  <c r="CE10" i="35"/>
  <c r="AO14" i="35"/>
  <c r="AK9" i="35"/>
  <c r="AE14" i="35"/>
  <c r="CD10" i="35"/>
  <c r="CB10" i="35"/>
  <c r="AF11" i="35"/>
  <c r="AF14" i="35"/>
  <c r="AK14" i="35"/>
  <c r="CC16" i="35"/>
  <c r="AN8" i="35"/>
  <c r="CE9" i="35"/>
  <c r="CF6" i="35"/>
  <c r="CC6" i="35"/>
  <c r="AL9" i="35"/>
  <c r="CU35" i="35"/>
  <c r="AN6" i="35"/>
  <c r="AB8" i="35"/>
  <c r="AL17" i="35"/>
  <c r="CF9" i="35"/>
  <c r="AE6" i="35"/>
  <c r="AO8" i="35"/>
  <c r="CD8" i="35"/>
  <c r="CE8" i="35"/>
  <c r="CD9" i="35"/>
  <c r="AI16" i="35"/>
  <c r="CE17" i="35"/>
  <c r="AD12" i="35"/>
  <c r="AB10" i="35"/>
  <c r="AA6" i="35"/>
  <c r="CU18" i="35"/>
  <c r="AD10" i="35"/>
  <c r="AD6" i="35"/>
  <c r="AC14" i="35"/>
  <c r="AL16" i="35"/>
  <c r="AJ14" i="35"/>
  <c r="AJ17" i="35"/>
  <c r="CD16" i="35"/>
  <c r="CF8" i="35"/>
  <c r="AL14" i="35"/>
  <c r="AK16" i="35"/>
  <c r="CD11" i="35"/>
  <c r="AD11" i="35"/>
  <c r="CU57" i="35"/>
  <c r="AA8" i="35"/>
  <c r="CF14" i="35"/>
  <c r="CD14" i="35"/>
  <c r="AK17" i="35"/>
  <c r="AC11" i="35"/>
  <c r="CF12" i="35"/>
  <c r="AN12" i="35"/>
  <c r="CD6" i="35"/>
  <c r="AL11" i="35"/>
  <c r="CA9" i="35"/>
  <c r="CD12" i="35"/>
  <c r="CA8" i="35"/>
  <c r="CE16" i="35"/>
  <c r="AK6" i="35"/>
  <c r="AM17" i="35"/>
  <c r="AF6" i="35"/>
  <c r="AG6" i="35"/>
  <c r="AE17" i="35"/>
  <c r="CA17" i="35"/>
  <c r="AM14" i="35"/>
  <c r="CC9" i="35"/>
  <c r="AI10" i="35"/>
  <c r="AM8" i="35"/>
  <c r="AN17" i="35"/>
  <c r="AB12" i="35"/>
  <c r="AC9" i="35"/>
  <c r="AB14" i="35"/>
  <c r="AK12" i="35"/>
  <c r="CG6" i="35"/>
  <c r="AF16" i="35"/>
  <c r="CG14" i="35"/>
  <c r="AM12" i="35"/>
  <c r="CB17" i="35"/>
  <c r="CB14" i="35"/>
  <c r="CF16" i="35"/>
  <c r="AM10" i="35"/>
  <c r="AJ8" i="35"/>
  <c r="CK52" i="35" l="1"/>
  <c r="BC52" i="35"/>
  <c r="BB50" i="35"/>
  <c r="BE42" i="35"/>
  <c r="CK42" i="35"/>
  <c r="CL39" i="35"/>
  <c r="BB39" i="35"/>
  <c r="BF34" i="35"/>
  <c r="CK32" i="35"/>
  <c r="BB32" i="35"/>
  <c r="BF30" i="35"/>
  <c r="CN28" i="35"/>
  <c r="BG28" i="35"/>
  <c r="CK26" i="35"/>
  <c r="BD26" i="35"/>
  <c r="BG24" i="35"/>
  <c r="BE22" i="35"/>
  <c r="CL22" i="35"/>
  <c r="BD15" i="35"/>
  <c r="CI15" i="35"/>
  <c r="BF56" i="35"/>
  <c r="BA54" i="35"/>
  <c r="CK54" i="35"/>
  <c r="BA47" i="35"/>
  <c r="CN55" i="35"/>
  <c r="BC55" i="35"/>
  <c r="CK53" i="35"/>
  <c r="BG53" i="35"/>
  <c r="CM45" i="35"/>
  <c r="BG45" i="35"/>
  <c r="CI51" i="35"/>
  <c r="BD51" i="35"/>
  <c r="CO43" i="35"/>
  <c r="BG43" i="35"/>
  <c r="CL41" i="35"/>
  <c r="BB41" i="35"/>
  <c r="BE40" i="35"/>
  <c r="CN38" i="35"/>
  <c r="BE38" i="35"/>
  <c r="CK36" i="35"/>
  <c r="BE36" i="35"/>
  <c r="BF33" i="35"/>
  <c r="BD31" i="35"/>
  <c r="CI29" i="35"/>
  <c r="BA29" i="35"/>
  <c r="CO27" i="35"/>
  <c r="BA25" i="35"/>
  <c r="CL25" i="35"/>
  <c r="BC21" i="35"/>
  <c r="CI21" i="35"/>
  <c r="CJ52" i="35"/>
  <c r="BB52" i="35"/>
  <c r="CO50" i="35"/>
  <c r="BD50" i="35"/>
  <c r="BC42" i="35"/>
  <c r="CJ42" i="35"/>
  <c r="CK39" i="35"/>
  <c r="CN34" i="35"/>
  <c r="BD34" i="35"/>
  <c r="BE32" i="35"/>
  <c r="CN30" i="35"/>
  <c r="CM28" i="35"/>
  <c r="BE28" i="35"/>
  <c r="CI26" i="35"/>
  <c r="BB26" i="35"/>
  <c r="BF24" i="35"/>
  <c r="BF22" i="35"/>
  <c r="CK22" i="35"/>
  <c r="BF15" i="35"/>
  <c r="CN56" i="35"/>
  <c r="BD56" i="35"/>
  <c r="BC54" i="35"/>
  <c r="CI54" i="35"/>
  <c r="CM55" i="35"/>
  <c r="BA55" i="35"/>
  <c r="CI53" i="35"/>
  <c r="BE53" i="35"/>
  <c r="BC46" i="35"/>
  <c r="CN46" i="35"/>
  <c r="CL45" i="35"/>
  <c r="BD45" i="35"/>
  <c r="CJ51" i="35"/>
  <c r="CN43" i="35"/>
  <c r="BE43" i="35"/>
  <c r="CK41" i="35"/>
  <c r="BF41" i="35"/>
  <c r="CM38" i="35"/>
  <c r="BA38" i="35"/>
  <c r="CJ36" i="35"/>
  <c r="BC36" i="35"/>
  <c r="BB33" i="35"/>
  <c r="BB31" i="35"/>
  <c r="CJ29" i="35"/>
  <c r="BF27" i="35"/>
  <c r="CN27" i="35"/>
  <c r="BE25" i="35"/>
  <c r="CK25" i="35"/>
  <c r="BF21" i="35"/>
  <c r="CI52" i="35"/>
  <c r="CK50" i="35"/>
  <c r="BA50" i="35"/>
  <c r="BD42" i="35"/>
  <c r="CI42" i="35"/>
  <c r="BA39" i="35"/>
  <c r="CM34" i="35"/>
  <c r="BB34" i="35"/>
  <c r="CM32" i="35"/>
  <c r="BD30" i="35"/>
  <c r="CM30" i="35"/>
  <c r="CL28" i="35"/>
  <c r="BC28" i="35"/>
  <c r="CJ26" i="35"/>
  <c r="CN24" i="35"/>
  <c r="BE24" i="35"/>
  <c r="BG22" i="35"/>
  <c r="CJ22" i="35"/>
  <c r="CJ15" i="35"/>
  <c r="CM56" i="35"/>
  <c r="BB56" i="35"/>
  <c r="BB54" i="35"/>
  <c r="CJ54" i="35"/>
  <c r="BF47" i="35"/>
  <c r="CN47" i="35"/>
  <c r="CL55" i="35"/>
  <c r="BG55" i="35"/>
  <c r="CJ53" i="35"/>
  <c r="BA46" i="35"/>
  <c r="CM46" i="35"/>
  <c r="CK45" i="35"/>
  <c r="BB45" i="35"/>
  <c r="BA51" i="35"/>
  <c r="CM43" i="35"/>
  <c r="BB43" i="35"/>
  <c r="CJ41" i="35"/>
  <c r="BC41" i="35"/>
  <c r="BB40" i="35"/>
  <c r="CN40" i="35"/>
  <c r="CL38" i="35"/>
  <c r="BF38" i="35"/>
  <c r="CI36" i="35"/>
  <c r="CN33" i="35"/>
  <c r="BG33" i="35"/>
  <c r="BE31" i="35"/>
  <c r="CK29" i="35"/>
  <c r="BG29" i="35"/>
  <c r="BC27" i="35"/>
  <c r="CM27" i="35"/>
  <c r="BG25" i="35"/>
  <c r="CJ25" i="35"/>
  <c r="BG52" i="35"/>
  <c r="CM50" i="35"/>
  <c r="BF50" i="35"/>
  <c r="BF42" i="35"/>
  <c r="CI39" i="35"/>
  <c r="BE39" i="35"/>
  <c r="CL34" i="35"/>
  <c r="BE34" i="35"/>
  <c r="CJ32" i="35"/>
  <c r="BA32" i="35"/>
  <c r="BB30" i="35"/>
  <c r="CL30" i="35"/>
  <c r="CK28" i="35"/>
  <c r="BA28" i="35"/>
  <c r="BA26" i="35"/>
  <c r="CM24" i="35"/>
  <c r="BB24" i="35"/>
  <c r="BA22" i="35"/>
  <c r="CI22" i="35"/>
  <c r="BB15" i="35"/>
  <c r="CL56" i="35"/>
  <c r="BE56" i="35"/>
  <c r="BE54" i="35"/>
  <c r="BE47" i="35"/>
  <c r="CM47" i="35"/>
  <c r="CK55" i="35"/>
  <c r="BF55" i="35"/>
  <c r="BF53" i="35"/>
  <c r="BG46" i="35"/>
  <c r="CL46" i="35"/>
  <c r="CJ45" i="35"/>
  <c r="BF45" i="35"/>
  <c r="CO51" i="35"/>
  <c r="BG51" i="35"/>
  <c r="CL43" i="35"/>
  <c r="BD43" i="35"/>
  <c r="CI41" i="35"/>
  <c r="BD40" i="35"/>
  <c r="CM40" i="35"/>
  <c r="CK38" i="35"/>
  <c r="BD38" i="35"/>
  <c r="BG36" i="35"/>
  <c r="CM33" i="35"/>
  <c r="BA33" i="35"/>
  <c r="BG31" i="35"/>
  <c r="BB29" i="35"/>
  <c r="BB27" i="35"/>
  <c r="CL27" i="35"/>
  <c r="BD25" i="35"/>
  <c r="CI25" i="35"/>
  <c r="BD21" i="35"/>
  <c r="CN21" i="35"/>
  <c r="BA52" i="35"/>
  <c r="CN50" i="35"/>
  <c r="BG50" i="35"/>
  <c r="BA42" i="35"/>
  <c r="CN39" i="35"/>
  <c r="BF39" i="35"/>
  <c r="CK34" i="35"/>
  <c r="BG34" i="35"/>
  <c r="BG32" i="35"/>
  <c r="BE30" i="35"/>
  <c r="CK30" i="35"/>
  <c r="CJ28" i="35"/>
  <c r="BD28" i="35"/>
  <c r="CO26" i="35"/>
  <c r="BC26" i="35"/>
  <c r="CL24" i="35"/>
  <c r="BA24" i="35"/>
  <c r="BD22" i="35"/>
  <c r="BC15" i="35"/>
  <c r="CN15" i="35"/>
  <c r="CK56" i="35"/>
  <c r="BA56" i="35"/>
  <c r="BG47" i="35"/>
  <c r="CL47" i="35"/>
  <c r="CJ55" i="35"/>
  <c r="BB55" i="35"/>
  <c r="CO53" i="35"/>
  <c r="BC53" i="35"/>
  <c r="BF46" i="35"/>
  <c r="CK46" i="35"/>
  <c r="CI45" i="35"/>
  <c r="CN51" i="35"/>
  <c r="BE51" i="35"/>
  <c r="CK43" i="35"/>
  <c r="BA43" i="35"/>
  <c r="BA41" i="35"/>
  <c r="BG40" i="35"/>
  <c r="CL40" i="35"/>
  <c r="CJ38" i="35"/>
  <c r="BB38" i="35"/>
  <c r="CO36" i="35"/>
  <c r="BB36" i="35"/>
  <c r="CL33" i="35"/>
  <c r="BD33" i="35"/>
  <c r="BF31" i="35"/>
  <c r="BE29" i="35"/>
  <c r="BD27" i="35"/>
  <c r="CK27" i="35"/>
  <c r="BF25" i="35"/>
  <c r="BG21" i="35"/>
  <c r="CM21" i="35"/>
  <c r="CN52" i="35"/>
  <c r="BE52" i="35"/>
  <c r="CJ50" i="35"/>
  <c r="BE50" i="35"/>
  <c r="CN42" i="35"/>
  <c r="CM39" i="35"/>
  <c r="BD39" i="35"/>
  <c r="CJ34" i="35"/>
  <c r="BA34" i="35"/>
  <c r="CI32" i="35"/>
  <c r="BC32" i="35"/>
  <c r="BA30" i="35"/>
  <c r="CJ30" i="35"/>
  <c r="CI28" i="35"/>
  <c r="CN26" i="35"/>
  <c r="BE26" i="35"/>
  <c r="CK24" i="35"/>
  <c r="BC24" i="35"/>
  <c r="CO22" i="35"/>
  <c r="BA15" i="35"/>
  <c r="CM15" i="35"/>
  <c r="CJ56" i="35"/>
  <c r="BC56" i="35"/>
  <c r="BF54" i="35"/>
  <c r="CN54" i="35"/>
  <c r="BD47" i="35"/>
  <c r="CK47" i="35"/>
  <c r="CI55" i="35"/>
  <c r="CN53" i="35"/>
  <c r="BA53" i="35"/>
  <c r="BD46" i="35"/>
  <c r="CJ46" i="35"/>
  <c r="BE45" i="35"/>
  <c r="CM51" i="35"/>
  <c r="BF51" i="35"/>
  <c r="CI43" i="35"/>
  <c r="BF43" i="35"/>
  <c r="BE41" i="35"/>
  <c r="BC40" i="35"/>
  <c r="CK40" i="35"/>
  <c r="CI38" i="35"/>
  <c r="CN36" i="35"/>
  <c r="BD36" i="35"/>
  <c r="CK33" i="35"/>
  <c r="BC33" i="35"/>
  <c r="CN29" i="35"/>
  <c r="BF29" i="35"/>
  <c r="BE27" i="35"/>
  <c r="CJ27" i="35"/>
  <c r="CO25" i="35"/>
  <c r="BE21" i="35"/>
  <c r="CL21" i="35"/>
  <c r="CM52" i="35"/>
  <c r="BF52" i="35"/>
  <c r="CL50" i="35"/>
  <c r="BC50" i="35"/>
  <c r="BG42" i="35"/>
  <c r="CM42" i="35"/>
  <c r="CO39" i="35"/>
  <c r="BG39" i="35"/>
  <c r="CI34" i="35"/>
  <c r="CN32" i="35"/>
  <c r="BF32" i="35"/>
  <c r="BC30" i="35"/>
  <c r="CI30" i="35"/>
  <c r="BF28" i="35"/>
  <c r="CM26" i="35"/>
  <c r="BG26" i="35"/>
  <c r="CI24" i="35"/>
  <c r="BD24" i="35"/>
  <c r="BB22" i="35"/>
  <c r="CN22" i="35"/>
  <c r="BE15" i="35"/>
  <c r="CL15" i="35"/>
  <c r="CI56" i="35"/>
  <c r="BD54" i="35"/>
  <c r="CM54" i="35"/>
  <c r="BC47" i="35"/>
  <c r="CI47" i="35"/>
  <c r="BD55" i="35"/>
  <c r="CM53" i="35"/>
  <c r="BD53" i="35"/>
  <c r="BE46" i="35"/>
  <c r="CI46" i="35"/>
  <c r="BC45" i="35"/>
  <c r="CL51" i="35"/>
  <c r="BB51" i="35"/>
  <c r="CJ43" i="35"/>
  <c r="CN41" i="35"/>
  <c r="BD41" i="35"/>
  <c r="BF40" i="35"/>
  <c r="CJ40" i="35"/>
  <c r="BG38" i="35"/>
  <c r="CM36" i="35"/>
  <c r="BF36" i="35"/>
  <c r="CI33" i="35"/>
  <c r="BE33" i="35"/>
  <c r="BC31" i="35"/>
  <c r="CM29" i="35"/>
  <c r="BC29" i="35"/>
  <c r="BA27" i="35"/>
  <c r="CI27" i="35"/>
  <c r="BC25" i="35"/>
  <c r="CN25" i="35"/>
  <c r="BB21" i="35"/>
  <c r="CK21" i="35"/>
  <c r="CL52" i="35"/>
  <c r="BD52" i="35"/>
  <c r="CI50" i="35"/>
  <c r="BB42" i="35"/>
  <c r="CL42" i="35"/>
  <c r="CJ39" i="35"/>
  <c r="BC39" i="35"/>
  <c r="BC34" i="35"/>
  <c r="CL32" i="35"/>
  <c r="BD32" i="35"/>
  <c r="BG30" i="35"/>
  <c r="BB28" i="35"/>
  <c r="CL26" i="35"/>
  <c r="BF26" i="35"/>
  <c r="CJ24" i="35"/>
  <c r="BC22" i="35"/>
  <c r="CM22" i="35"/>
  <c r="BG15" i="35"/>
  <c r="CK15" i="35"/>
  <c r="BG56" i="35"/>
  <c r="BG54" i="35"/>
  <c r="CL54" i="35"/>
  <c r="BB47" i="35"/>
  <c r="CJ47" i="35"/>
  <c r="BE55" i="35"/>
  <c r="CL53" i="35"/>
  <c r="BB53" i="35"/>
  <c r="BB46" i="35"/>
  <c r="CN45" i="35"/>
  <c r="BA45" i="35"/>
  <c r="CK51" i="35"/>
  <c r="BC51" i="35"/>
  <c r="BC43" i="35"/>
  <c r="CM41" i="35"/>
  <c r="BG41" i="35"/>
  <c r="BA40" i="35"/>
  <c r="CI40" i="35"/>
  <c r="BC38" i="35"/>
  <c r="CL36" i="35"/>
  <c r="BA36" i="35"/>
  <c r="CJ33" i="35"/>
  <c r="BA31" i="35"/>
  <c r="CL29" i="35"/>
  <c r="BD29" i="35"/>
  <c r="BG27" i="35"/>
  <c r="BB25" i="35"/>
  <c r="CM25" i="35"/>
  <c r="BA21" i="35"/>
  <c r="CJ21" i="35"/>
  <c r="BM7" i="35"/>
  <c r="BN7" i="35"/>
  <c r="BI7" i="35"/>
  <c r="BL7" i="35"/>
  <c r="BO7" i="35"/>
  <c r="BK7" i="35"/>
  <c r="BJ7" i="35"/>
  <c r="BD16" i="35"/>
  <c r="CJ13" i="35"/>
  <c r="BD11" i="35"/>
  <c r="CJ16" i="35"/>
  <c r="BD13" i="35"/>
  <c r="CL16" i="35"/>
  <c r="CK13" i="35"/>
  <c r="CI13" i="35"/>
  <c r="BA16" i="35"/>
  <c r="CJ14" i="35"/>
  <c r="CO7" i="35"/>
  <c r="BA11" i="35"/>
  <c r="CI16" i="35"/>
  <c r="BF14" i="35"/>
  <c r="BC11" i="35"/>
  <c r="BF13" i="35"/>
  <c r="BE16" i="35"/>
  <c r="BF11" i="35"/>
  <c r="BA14" i="35"/>
  <c r="CN7" i="35"/>
  <c r="BD14" i="35"/>
  <c r="BE7" i="35"/>
  <c r="BC16" i="35"/>
  <c r="CM7" i="35"/>
  <c r="CN11" i="35"/>
  <c r="CL13" i="35"/>
  <c r="BC14" i="35"/>
  <c r="CJ7" i="35"/>
  <c r="BG7" i="35"/>
  <c r="BG14" i="35"/>
  <c r="BB13" i="35"/>
  <c r="BG16" i="35"/>
  <c r="CK14" i="35"/>
  <c r="CI7" i="35"/>
  <c r="BB11" i="35"/>
  <c r="CK11" i="35"/>
  <c r="CK16" i="35"/>
  <c r="CL11" i="35"/>
  <c r="BC7" i="35"/>
  <c r="BE13" i="35"/>
  <c r="BG13" i="35"/>
  <c r="BE14" i="35"/>
  <c r="CN13" i="35"/>
  <c r="BF7" i="35"/>
  <c r="BB16" i="35"/>
  <c r="CL14" i="35"/>
  <c r="BE11" i="35"/>
  <c r="CI11" i="35"/>
  <c r="CN16" i="35"/>
  <c r="BD7" i="35"/>
  <c r="CK7" i="35"/>
  <c r="CN14" i="35"/>
  <c r="CM11" i="35"/>
  <c r="CM14" i="35"/>
  <c r="BA13" i="35"/>
  <c r="BB7" i="35"/>
  <c r="BC13" i="35"/>
  <c r="BB14" i="35"/>
  <c r="CM13" i="35"/>
  <c r="BA7" i="35"/>
  <c r="BF16" i="35"/>
  <c r="CI14" i="35"/>
  <c r="CL7" i="35"/>
  <c r="BG11" i="35"/>
  <c r="CJ11" i="35"/>
  <c r="CM16" i="35"/>
  <c r="BN17" i="35"/>
  <c r="BE8" i="35"/>
  <c r="BB10" i="35"/>
  <c r="BM9" i="35"/>
  <c r="CI9" i="35"/>
  <c r="CK10" i="35"/>
  <c r="BM10" i="35"/>
  <c r="CN8" i="35"/>
  <c r="BG8" i="35"/>
  <c r="BD9" i="35"/>
  <c r="CI12" i="35"/>
  <c r="BN8" i="35"/>
  <c r="BG6" i="35"/>
  <c r="AG4" i="35"/>
  <c r="BJ12" i="35"/>
  <c r="CN17" i="35"/>
  <c r="BA12" i="35"/>
  <c r="BE17" i="35"/>
  <c r="BI10" i="35"/>
  <c r="BB12" i="35"/>
  <c r="BI17" i="35"/>
  <c r="BA10" i="35"/>
  <c r="BN9" i="35"/>
  <c r="CJ9" i="35"/>
  <c r="CI10" i="35"/>
  <c r="BN10" i="35"/>
  <c r="CO8" i="35"/>
  <c r="AJ4" i="35"/>
  <c r="BF9" i="35"/>
  <c r="CJ12" i="35"/>
  <c r="BO8" i="35"/>
  <c r="AB4" i="35"/>
  <c r="BB6" i="35"/>
  <c r="BL12" i="35"/>
  <c r="CK6" i="35"/>
  <c r="BA17" i="35"/>
  <c r="CN9" i="35"/>
  <c r="BI12" i="35"/>
  <c r="BJ17" i="35"/>
  <c r="BE10" i="35"/>
  <c r="BO9" i="35"/>
  <c r="CM9" i="35"/>
  <c r="CL10" i="35"/>
  <c r="BO10" i="35"/>
  <c r="BD8" i="35"/>
  <c r="AK4" i="35"/>
  <c r="BB9" i="35"/>
  <c r="CN12" i="35"/>
  <c r="BK8" i="35"/>
  <c r="AC4" i="35"/>
  <c r="BC6" i="35"/>
  <c r="BK12" i="35"/>
  <c r="BD12" i="35"/>
  <c r="CJ6" i="35"/>
  <c r="BF17" i="35"/>
  <c r="BL9" i="35"/>
  <c r="AO4" i="35"/>
  <c r="CM17" i="35"/>
  <c r="BK17" i="35"/>
  <c r="BF10" i="35"/>
  <c r="BK9" i="35"/>
  <c r="CK9" i="35"/>
  <c r="CJ10" i="35"/>
  <c r="CJ8" i="35"/>
  <c r="BF8" i="35"/>
  <c r="AI4" i="35"/>
  <c r="BE9" i="35"/>
  <c r="CK12" i="35"/>
  <c r="BL8" i="35"/>
  <c r="AD4" i="35"/>
  <c r="BD6" i="35"/>
  <c r="CJ17" i="35"/>
  <c r="BG12" i="35"/>
  <c r="CM6" i="35"/>
  <c r="BB17" i="35"/>
  <c r="CO12" i="35"/>
  <c r="BL17" i="35"/>
  <c r="BC10" i="35"/>
  <c r="BI9" i="35"/>
  <c r="CL9" i="35"/>
  <c r="BK10" i="35"/>
  <c r="CK8" i="35"/>
  <c r="BB8" i="35"/>
  <c r="AL4" i="35"/>
  <c r="BC9" i="35"/>
  <c r="CL12" i="35"/>
  <c r="BM8" i="35"/>
  <c r="BN12" i="35"/>
  <c r="CK17" i="35"/>
  <c r="BC12" i="35"/>
  <c r="CL6" i="35"/>
  <c r="BG17" i="35"/>
  <c r="CI8" i="35"/>
  <c r="BJ8" i="35"/>
  <c r="BO17" i="35"/>
  <c r="BG10" i="35"/>
  <c r="BJ9" i="35"/>
  <c r="CM10" i="35"/>
  <c r="BJ10" i="35"/>
  <c r="CL8" i="35"/>
  <c r="BA8" i="35"/>
  <c r="AM4" i="35"/>
  <c r="BA9" i="35"/>
  <c r="CM12" i="35"/>
  <c r="AA4" i="35"/>
  <c r="BA6" i="35"/>
  <c r="BO12" i="35"/>
  <c r="CL17" i="35"/>
  <c r="BE12" i="35"/>
  <c r="CN6" i="35"/>
  <c r="BD17" i="35"/>
  <c r="CO10" i="35"/>
  <c r="AE4" i="35"/>
  <c r="BE6" i="35"/>
  <c r="BM17" i="35"/>
  <c r="BD10" i="35"/>
  <c r="CN10" i="35"/>
  <c r="BL10" i="35"/>
  <c r="CM8" i="35"/>
  <c r="BC8" i="35"/>
  <c r="AN4" i="35"/>
  <c r="BG9" i="35"/>
  <c r="BI8" i="35"/>
  <c r="AF4" i="35"/>
  <c r="BF6" i="35"/>
  <c r="BM12" i="35"/>
  <c r="CI17" i="35"/>
  <c r="BF12" i="35"/>
  <c r="CI6" i="35"/>
  <c r="BC17" i="35"/>
  <c r="CO47" i="35"/>
  <c r="CO37" i="35"/>
  <c r="CO21" i="35"/>
  <c r="CO38" i="35"/>
  <c r="CO42" i="35"/>
  <c r="CO24" i="35"/>
  <c r="CO46" i="35"/>
  <c r="CO29" i="35"/>
  <c r="CO33" i="35"/>
  <c r="CO40" i="35"/>
  <c r="CO9" i="35"/>
  <c r="CO20" i="35"/>
  <c r="CO14" i="35"/>
  <c r="CO59" i="35"/>
  <c r="CO15" i="35"/>
  <c r="CO13" i="35"/>
  <c r="CO23" i="35"/>
  <c r="CO30" i="35"/>
  <c r="CO18" i="35"/>
  <c r="CO16" i="35"/>
  <c r="CO41" i="35"/>
  <c r="CO34" i="35"/>
  <c r="CO54" i="35"/>
  <c r="CO28" i="35"/>
  <c r="CO17" i="35"/>
  <c r="CO55" i="35"/>
  <c r="CO52" i="35"/>
  <c r="CO56" i="35"/>
  <c r="CO11" i="35"/>
  <c r="CO45" i="35"/>
  <c r="CO32" i="35"/>
  <c r="CO58" i="35"/>
  <c r="CO6" i="35"/>
  <c r="CW2" i="35"/>
  <c r="D46" i="18"/>
  <c r="CS52" i="35"/>
  <c r="CS32" i="35"/>
  <c r="BU22" i="35"/>
  <c r="BU36" i="35"/>
  <c r="BS21" i="35"/>
  <c r="CS39" i="35"/>
  <c r="BR26" i="35"/>
  <c r="CQ54" i="35"/>
  <c r="BT45" i="35"/>
  <c r="CR36" i="35"/>
  <c r="CS25" i="35"/>
  <c r="CU34" i="35"/>
  <c r="CR54" i="35"/>
  <c r="BW29" i="35"/>
  <c r="BV42" i="35"/>
  <c r="CT30" i="35"/>
  <c r="BR15" i="35"/>
  <c r="BV53" i="35"/>
  <c r="BQ33" i="35"/>
  <c r="CT24" i="35"/>
  <c r="CS27" i="35"/>
  <c r="CR30" i="35"/>
  <c r="BS33" i="35"/>
  <c r="CQ34" i="35"/>
  <c r="CU54" i="35"/>
  <c r="BW38" i="35"/>
  <c r="CQ50" i="35"/>
  <c r="CS15" i="35"/>
  <c r="BW41" i="35"/>
  <c r="CV40" i="35"/>
  <c r="CR9" i="35"/>
  <c r="CV8" i="35"/>
  <c r="CV50" i="35"/>
  <c r="CV36" i="35"/>
  <c r="CR8" i="35"/>
  <c r="CV17" i="35"/>
  <c r="CV34" i="35"/>
  <c r="CV52" i="35"/>
  <c r="BR11" i="35"/>
  <c r="CS13" i="35"/>
  <c r="CV21" i="35"/>
  <c r="CU10" i="35"/>
  <c r="BR14" i="35"/>
  <c r="CV33" i="35"/>
  <c r="CR11" i="35"/>
  <c r="BW13" i="35"/>
  <c r="BS52" i="35"/>
  <c r="BR32" i="35"/>
  <c r="CT22" i="35"/>
  <c r="BS55" i="35"/>
  <c r="BW43" i="35"/>
  <c r="BV33" i="35"/>
  <c r="CQ21" i="35"/>
  <c r="BV24" i="35"/>
  <c r="CU55" i="35"/>
  <c r="CR51" i="35"/>
  <c r="BS36" i="35"/>
  <c r="BV21" i="35"/>
  <c r="BR34" i="35"/>
  <c r="BU24" i="35"/>
  <c r="BV47" i="35"/>
  <c r="BR45" i="35"/>
  <c r="CT38" i="35"/>
  <c r="BS27" i="35"/>
  <c r="CQ39" i="35"/>
  <c r="CS28" i="35"/>
  <c r="CT56" i="35"/>
  <c r="BW46" i="35"/>
  <c r="CQ41" i="35"/>
  <c r="BW31" i="35"/>
  <c r="BQ52" i="35"/>
  <c r="BW32" i="35"/>
  <c r="BQ24" i="35"/>
  <c r="CR55" i="35"/>
  <c r="BU51" i="35"/>
  <c r="BV25" i="35"/>
  <c r="CU39" i="35"/>
  <c r="CQ28" i="35"/>
  <c r="CR56" i="35"/>
  <c r="BQ53" i="35"/>
  <c r="BU41" i="35"/>
  <c r="BV52" i="35"/>
  <c r="BT24" i="35"/>
  <c r="BS47" i="35"/>
  <c r="CT51" i="35"/>
  <c r="CU36" i="35"/>
  <c r="CQ27" i="35"/>
  <c r="BR42" i="35"/>
  <c r="BR28" i="35"/>
  <c r="BW56" i="35"/>
  <c r="BR46" i="35"/>
  <c r="BQ40" i="35"/>
  <c r="BT29" i="35"/>
  <c r="BV11" i="35"/>
  <c r="CQ7" i="35"/>
  <c r="CU9" i="35"/>
  <c r="CS12" i="35"/>
  <c r="CQ8" i="35"/>
  <c r="BS16" i="35"/>
  <c r="CV35" i="35"/>
  <c r="CV13" i="35"/>
  <c r="CV48" i="35"/>
  <c r="BW6" i="35"/>
  <c r="BR50" i="35"/>
  <c r="BV30" i="35"/>
  <c r="BT15" i="35"/>
  <c r="CS53" i="35"/>
  <c r="CT41" i="35"/>
  <c r="BT31" i="35"/>
  <c r="CR52" i="35"/>
  <c r="BT34" i="35"/>
  <c r="BV22" i="35"/>
  <c r="BQ55" i="35"/>
  <c r="BR33" i="35"/>
  <c r="CQ52" i="35"/>
  <c r="CU32" i="35"/>
  <c r="BW22" i="35"/>
  <c r="BQ51" i="35"/>
  <c r="BV38" i="35"/>
  <c r="CU27" i="35"/>
  <c r="BU39" i="35"/>
  <c r="BQ28" i="35"/>
  <c r="BU56" i="35"/>
  <c r="CT46" i="35"/>
  <c r="BT40" i="35"/>
  <c r="BR29" i="35"/>
  <c r="BU30" i="35"/>
  <c r="BT22" i="35"/>
  <c r="BR55" i="35"/>
  <c r="CS43" i="35"/>
  <c r="BR36" i="35"/>
  <c r="BW21" i="35"/>
  <c r="BT39" i="35"/>
  <c r="BS56" i="35"/>
  <c r="BT46" i="35"/>
  <c r="BS40" i="35"/>
  <c r="BV29" i="35"/>
  <c r="CT50" i="35"/>
  <c r="BV32" i="35"/>
  <c r="BR22" i="35"/>
  <c r="CQ47" i="35"/>
  <c r="BR51" i="35"/>
  <c r="BV36" i="35"/>
  <c r="BS25" i="35"/>
  <c r="CT42" i="35"/>
  <c r="CT26" i="35"/>
  <c r="BW54" i="35"/>
  <c r="CQ40" i="35"/>
  <c r="BW27" i="35"/>
  <c r="CQ13" i="35"/>
  <c r="BU13" i="35"/>
  <c r="CV23" i="35"/>
  <c r="CQ16" i="35"/>
  <c r="BU42" i="35"/>
  <c r="CQ15" i="35"/>
  <c r="BW53" i="35"/>
  <c r="BR41" i="35"/>
  <c r="CQ29" i="35"/>
  <c r="BR52" i="35"/>
  <c r="BU32" i="35"/>
  <c r="CS22" i="35"/>
  <c r="CQ53" i="35"/>
  <c r="BU43" i="35"/>
  <c r="BR31" i="35"/>
  <c r="CS50" i="35"/>
  <c r="BT30" i="35"/>
  <c r="CR22" i="35"/>
  <c r="CT55" i="35"/>
  <c r="CU43" i="35"/>
  <c r="CQ36" i="35"/>
  <c r="BW25" i="35"/>
  <c r="CT34" i="35"/>
  <c r="BQ26" i="35"/>
  <c r="BU54" i="35"/>
  <c r="CR45" i="35"/>
  <c r="CU40" i="35"/>
  <c r="BR27" i="35"/>
  <c r="BW50" i="35"/>
  <c r="CS30" i="35"/>
  <c r="BS15" i="35"/>
  <c r="BQ43" i="35"/>
  <c r="CT33" i="35"/>
  <c r="CU21" i="35"/>
  <c r="CR34" i="35"/>
  <c r="BU26" i="35"/>
  <c r="BV54" i="35"/>
  <c r="CR46" i="35"/>
  <c r="CS40" i="35"/>
  <c r="BU27" i="35"/>
  <c r="BS50" i="35"/>
  <c r="BS30" i="35"/>
  <c r="BT55" i="35"/>
  <c r="CR43" i="35"/>
  <c r="CQ33" i="35"/>
  <c r="CR39" i="35"/>
  <c r="BV26" i="35"/>
  <c r="CT54" i="35"/>
  <c r="BQ45" i="35"/>
  <c r="BS38" i="35"/>
  <c r="BR25" i="35"/>
  <c r="CV25" i="35"/>
  <c r="CV58" i="35"/>
  <c r="BW10" i="35"/>
  <c r="CV57" i="35"/>
  <c r="CV37" i="35"/>
  <c r="CT14" i="35"/>
  <c r="CV28" i="35"/>
  <c r="BR43" i="35"/>
  <c r="BV45" i="35"/>
  <c r="CT27" i="35"/>
  <c r="CR28" i="35"/>
  <c r="BS53" i="35"/>
  <c r="BT33" i="35"/>
  <c r="CS24" i="35"/>
  <c r="BU45" i="35"/>
  <c r="CR27" i="35"/>
  <c r="CQ30" i="35"/>
  <c r="CU53" i="35"/>
  <c r="BR21" i="35"/>
  <c r="CR24" i="35"/>
  <c r="CS51" i="35"/>
  <c r="CU25" i="35"/>
  <c r="BU7" i="35"/>
  <c r="BW14" i="35"/>
  <c r="CU7" i="35"/>
  <c r="BT14" i="35"/>
  <c r="CV14" i="35"/>
  <c r="CR17" i="35"/>
  <c r="CV11" i="35"/>
  <c r="CR16" i="35"/>
  <c r="CV18" i="35"/>
  <c r="BV10" i="35"/>
  <c r="BS17" i="35"/>
  <c r="CV39" i="35"/>
  <c r="CS42" i="35"/>
  <c r="BW28" i="35"/>
  <c r="BV56" i="35"/>
  <c r="CU45" i="35"/>
  <c r="BU40" i="35"/>
  <c r="BQ29" i="35"/>
  <c r="BV15" i="35"/>
  <c r="BU53" i="35"/>
  <c r="CS41" i="35"/>
  <c r="CR29" i="35"/>
  <c r="BQ50" i="35"/>
  <c r="CU30" i="35"/>
  <c r="CR15" i="35"/>
  <c r="BW55" i="35"/>
  <c r="CR25" i="35"/>
  <c r="BU34" i="35"/>
  <c r="CU24" i="35"/>
  <c r="BU47" i="35"/>
  <c r="CS38" i="35"/>
  <c r="BQ42" i="35"/>
  <c r="BQ41" i="35"/>
  <c r="BQ34" i="35"/>
  <c r="CQ38" i="35"/>
  <c r="BW42" i="35"/>
  <c r="BU15" i="35"/>
  <c r="BU33" i="35"/>
  <c r="BS39" i="35"/>
  <c r="BR47" i="35"/>
  <c r="CT36" i="35"/>
  <c r="CT13" i="35"/>
  <c r="CV59" i="35"/>
  <c r="CV12" i="35"/>
  <c r="CV38" i="35"/>
  <c r="BT11" i="35"/>
  <c r="CU13" i="35"/>
  <c r="CT17" i="35"/>
  <c r="BS7" i="35"/>
  <c r="BQ14" i="35"/>
  <c r="CS11" i="35"/>
  <c r="BS8" i="35"/>
  <c r="CQ9" i="35"/>
  <c r="BW7" i="35"/>
  <c r="CW44" i="35"/>
  <c r="CV45" i="35"/>
  <c r="BQ11" i="35"/>
  <c r="CV24" i="35"/>
  <c r="CT12" i="35"/>
  <c r="BU11" i="35"/>
  <c r="CT39" i="35"/>
  <c r="CS26" i="35"/>
  <c r="BQ54" i="35"/>
  <c r="BW45" i="35"/>
  <c r="BT50" i="35"/>
  <c r="CU28" i="35"/>
  <c r="BS46" i="35"/>
  <c r="BV41" i="35"/>
  <c r="BV27" i="35"/>
  <c r="BT42" i="35"/>
  <c r="CT28" i="35"/>
  <c r="CU56" i="35"/>
  <c r="CR53" i="35"/>
  <c r="CR41" i="35"/>
  <c r="BW33" i="35"/>
  <c r="BW52" i="35"/>
  <c r="CR32" i="35"/>
  <c r="BR24" i="35"/>
  <c r="CU47" i="35"/>
  <c r="BT38" i="35"/>
  <c r="BT25" i="35"/>
  <c r="BT28" i="35"/>
  <c r="CS56" i="35"/>
  <c r="BV46" i="35"/>
  <c r="BW40" i="35"/>
  <c r="BV31" i="35"/>
  <c r="BU52" i="35"/>
  <c r="CQ32" i="35"/>
  <c r="BS24" i="35"/>
  <c r="BT47" i="35"/>
  <c r="CU51" i="35"/>
  <c r="CU42" i="35"/>
  <c r="BV28" i="35"/>
  <c r="CT15" i="35"/>
  <c r="BT53" i="35"/>
  <c r="BT41" i="35"/>
  <c r="BS31" i="35"/>
  <c r="CS21" i="35"/>
  <c r="BS34" i="35"/>
  <c r="BS22" i="35"/>
  <c r="CR47" i="35"/>
  <c r="BS51" i="35"/>
  <c r="BQ36" i="35"/>
  <c r="BQ21" i="35"/>
  <c r="BV8" i="35"/>
  <c r="CV19" i="35"/>
  <c r="CV9" i="35"/>
  <c r="CT8" i="35"/>
  <c r="CT9" i="35"/>
  <c r="BW9" i="35"/>
  <c r="BT12" i="35"/>
  <c r="CV41" i="35"/>
  <c r="CQ14" i="35"/>
  <c r="CT7" i="35"/>
  <c r="BV12" i="35"/>
  <c r="CW49" i="35"/>
  <c r="BR39" i="35"/>
  <c r="BT26" i="35"/>
  <c r="CS54" i="35"/>
  <c r="CQ51" i="35"/>
  <c r="BU38" i="35"/>
  <c r="BQ25" i="35"/>
  <c r="BS42" i="35"/>
  <c r="BU28" i="35"/>
  <c r="BT56" i="35"/>
  <c r="CU38" i="35"/>
  <c r="CQ42" i="35"/>
  <c r="BS28" i="35"/>
  <c r="BR56" i="35"/>
  <c r="BQ46" i="35"/>
  <c r="BS41" i="35"/>
  <c r="BU31" i="35"/>
  <c r="CU50" i="35"/>
  <c r="BQ32" i="35"/>
  <c r="BQ22" i="35"/>
  <c r="CS55" i="35"/>
  <c r="BW51" i="35"/>
  <c r="BW36" i="35"/>
  <c r="CQ25" i="35"/>
  <c r="BV39" i="35"/>
  <c r="BQ56" i="35"/>
  <c r="CS46" i="35"/>
  <c r="CT40" i="35"/>
  <c r="BU29" i="35"/>
  <c r="CR50" i="35"/>
  <c r="BS32" i="35"/>
  <c r="CS47" i="35"/>
  <c r="BV51" i="35"/>
  <c r="BT36" i="35"/>
  <c r="BU21" i="35"/>
  <c r="CU26" i="35"/>
  <c r="CQ56" i="35"/>
  <c r="BU46" i="35"/>
  <c r="BV40" i="35"/>
  <c r="CU29" i="35"/>
  <c r="CT52" i="35"/>
  <c r="CT32" i="35"/>
  <c r="CU22" i="35"/>
  <c r="BU55" i="35"/>
  <c r="BS43" i="35"/>
  <c r="CR33" i="35"/>
  <c r="CR21" i="35"/>
  <c r="BU9" i="35"/>
  <c r="CV54" i="35"/>
  <c r="BW16" i="35"/>
  <c r="CV43" i="35"/>
  <c r="CV10" i="35"/>
  <c r="BV34" i="35"/>
  <c r="BW24" i="35"/>
  <c r="BQ47" i="35"/>
  <c r="BT51" i="35"/>
  <c r="CS36" i="35"/>
  <c r="CT25" i="35"/>
  <c r="CR42" i="35"/>
  <c r="CQ26" i="35"/>
  <c r="BS54" i="35"/>
  <c r="CT45" i="35"/>
  <c r="BQ38" i="35"/>
  <c r="BU25" i="35"/>
  <c r="BQ39" i="35"/>
  <c r="CR26" i="35"/>
  <c r="BR54" i="35"/>
  <c r="CU46" i="35"/>
  <c r="BR40" i="35"/>
  <c r="CS29" i="35"/>
  <c r="BV50" i="35"/>
  <c r="BR30" i="35"/>
  <c r="CQ22" i="35"/>
  <c r="BV55" i="35"/>
  <c r="CT43" i="35"/>
  <c r="CU33" i="35"/>
  <c r="BT21" i="35"/>
  <c r="CS34" i="35"/>
  <c r="BS26" i="35"/>
  <c r="BW47" i="35"/>
  <c r="CQ45" i="35"/>
  <c r="CR38" i="35"/>
  <c r="BT27" i="35"/>
  <c r="BU50" i="35"/>
  <c r="BQ30" i="35"/>
  <c r="BQ15" i="35"/>
  <c r="CQ55" i="35"/>
  <c r="CQ43" i="35"/>
  <c r="CS33" i="35"/>
  <c r="CT21" i="35"/>
  <c r="BW39" i="35"/>
  <c r="BW26" i="35"/>
  <c r="BT54" i="35"/>
  <c r="CQ46" i="35"/>
  <c r="CR40" i="35"/>
  <c r="BS29" i="35"/>
  <c r="BT52" i="35"/>
  <c r="BT32" i="35"/>
  <c r="BW15" i="35"/>
  <c r="CT53" i="35"/>
  <c r="CU41" i="35"/>
  <c r="BQ31" i="35"/>
  <c r="CU14" i="35"/>
  <c r="CV55" i="35"/>
  <c r="BU14" i="35"/>
  <c r="BV14" i="35"/>
  <c r="CU16" i="35"/>
  <c r="CS45" i="35"/>
  <c r="BT43" i="35"/>
  <c r="BW34" i="35"/>
  <c r="CT47" i="35"/>
  <c r="BR38" i="35"/>
  <c r="CU15" i="35"/>
  <c r="BV43" i="35"/>
  <c r="CU52" i="35"/>
  <c r="CQ24" i="35"/>
  <c r="BS45" i="35"/>
  <c r="BQ27" i="35"/>
  <c r="BW30" i="35"/>
  <c r="BR53" i="35"/>
  <c r="CT29" i="35"/>
  <c r="CV27" i="35"/>
  <c r="CV22" i="35"/>
  <c r="CQ10" i="35"/>
  <c r="CV29" i="35"/>
  <c r="CV30" i="35"/>
  <c r="CV20" i="35"/>
  <c r="BQ13" i="35"/>
  <c r="CV56" i="35"/>
  <c r="CR14" i="35"/>
  <c r="CT11" i="35"/>
  <c r="CU12" i="35"/>
  <c r="BR13" i="35"/>
  <c r="CR7" i="35"/>
  <c r="CR13" i="35"/>
  <c r="CS8" i="35"/>
  <c r="CT16" i="35"/>
  <c r="CV26" i="35"/>
  <c r="BT16" i="35"/>
  <c r="BR16" i="35"/>
  <c r="BQ10" i="35"/>
  <c r="CT10" i="35"/>
  <c r="CV15" i="35"/>
  <c r="BS11" i="35"/>
  <c r="BS9" i="35"/>
  <c r="BQ8" i="35"/>
  <c r="BV13" i="35"/>
  <c r="CQ11" i="35"/>
  <c r="BR7" i="35"/>
  <c r="BW11" i="35"/>
  <c r="CS10" i="35"/>
  <c r="CR12" i="35"/>
  <c r="CR6" i="35"/>
  <c r="CS9" i="35"/>
  <c r="BS10" i="35"/>
  <c r="CV6" i="35"/>
  <c r="BQ16" i="35"/>
  <c r="BU16" i="35"/>
  <c r="CS14" i="35"/>
  <c r="CV16" i="35"/>
  <c r="BS13" i="35"/>
  <c r="BR9" i="35"/>
  <c r="CR10" i="35"/>
  <c r="BQ9" i="35"/>
  <c r="CU8" i="35"/>
  <c r="CV46" i="35"/>
  <c r="BU10" i="35"/>
  <c r="BV17" i="35"/>
  <c r="BT17" i="35"/>
  <c r="CQ17" i="35"/>
  <c r="CV51" i="35"/>
  <c r="CV42" i="35"/>
  <c r="CV53" i="35"/>
  <c r="BS14" i="35"/>
  <c r="CS7" i="35"/>
  <c r="CS17" i="35"/>
  <c r="CQ6" i="35"/>
  <c r="CV32" i="35"/>
  <c r="CV7" i="35"/>
  <c r="BV7" i="35"/>
  <c r="BQ7" i="35"/>
  <c r="CU17" i="35"/>
  <c r="CU6" i="35"/>
  <c r="BS12" i="35"/>
  <c r="CV47" i="35"/>
  <c r="BT7" i="35"/>
  <c r="BT13" i="35"/>
  <c r="CS16" i="35"/>
  <c r="CU11" i="35"/>
  <c r="BV16" i="35"/>
  <c r="CQ12" i="35"/>
  <c r="CS6" i="35"/>
  <c r="CT6" i="35"/>
  <c r="BJ4" i="35" l="1"/>
  <c r="BL4" i="35"/>
  <c r="BN4" i="35"/>
  <c r="BI4" i="35"/>
  <c r="BK4" i="35"/>
  <c r="BM4" i="35"/>
  <c r="BO4" i="35"/>
  <c r="BF4" i="35"/>
  <c r="BC4" i="35"/>
  <c r="BE4" i="35"/>
  <c r="BA4" i="35"/>
  <c r="BD4" i="35"/>
  <c r="BB4" i="35"/>
  <c r="W31" i="35"/>
  <c r="I31" i="35" s="1"/>
  <c r="BG4" i="35"/>
  <c r="D166" i="24"/>
  <c r="D165" i="24"/>
  <c r="D164" i="24"/>
  <c r="D163" i="24"/>
  <c r="D162" i="24"/>
  <c r="G158" i="24"/>
  <c r="G144" i="24"/>
  <c r="D158" i="24"/>
  <c r="D144" i="24"/>
  <c r="D152" i="24"/>
  <c r="D151" i="24"/>
  <c r="D150" i="24"/>
  <c r="D149" i="24"/>
  <c r="D148" i="24"/>
  <c r="D116" i="24"/>
  <c r="D88" i="24"/>
  <c r="D74" i="24"/>
  <c r="D46" i="24"/>
  <c r="D32" i="24"/>
  <c r="D18" i="24"/>
  <c r="D4" i="24"/>
  <c r="D210" i="20"/>
  <c r="D209" i="20"/>
  <c r="D208" i="20"/>
  <c r="D207" i="20"/>
  <c r="D206" i="20"/>
  <c r="G202" i="20"/>
  <c r="D202" i="20"/>
  <c r="D196" i="20"/>
  <c r="D195" i="20"/>
  <c r="D194" i="20"/>
  <c r="D193" i="20"/>
  <c r="D192" i="20"/>
  <c r="G188" i="20"/>
  <c r="D188" i="20"/>
  <c r="D174" i="20"/>
  <c r="D182" i="20"/>
  <c r="D181" i="20"/>
  <c r="D180" i="20"/>
  <c r="D179" i="20"/>
  <c r="D178" i="20"/>
  <c r="G174" i="20"/>
  <c r="D40" i="15"/>
  <c r="D145" i="14"/>
  <c r="G145" i="14"/>
  <c r="D149" i="14"/>
  <c r="D150" i="14"/>
  <c r="D151" i="14"/>
  <c r="D152" i="14"/>
  <c r="D153" i="14"/>
  <c r="D139" i="14"/>
  <c r="D138" i="14"/>
  <c r="D137" i="14"/>
  <c r="D136" i="14"/>
  <c r="D135" i="14"/>
  <c r="G131" i="14"/>
  <c r="D131" i="14"/>
  <c r="D125" i="14"/>
  <c r="D124" i="14"/>
  <c r="D123" i="14"/>
  <c r="D122" i="14"/>
  <c r="D121" i="14"/>
  <c r="G117" i="14"/>
  <c r="D117" i="14"/>
  <c r="D139" i="13"/>
  <c r="D138" i="13"/>
  <c r="D137" i="13"/>
  <c r="D136" i="13"/>
  <c r="D135" i="13"/>
  <c r="G131" i="13"/>
  <c r="D131" i="13"/>
  <c r="O12" i="13"/>
  <c r="D82" i="12"/>
  <c r="D81" i="12"/>
  <c r="D80" i="12"/>
  <c r="D79" i="12"/>
  <c r="D78" i="12"/>
  <c r="G74" i="12"/>
  <c r="D74" i="12"/>
  <c r="BU17" i="35"/>
  <c r="CW35" i="35"/>
  <c r="BS6" i="35"/>
  <c r="BR17" i="35"/>
  <c r="CW27" i="35"/>
  <c r="BU12" i="35"/>
  <c r="BQ6" i="35"/>
  <c r="BT9" i="35"/>
  <c r="BR10" i="35"/>
  <c r="CW54" i="35"/>
  <c r="CW20" i="35"/>
  <c r="CW21" i="35"/>
  <c r="CW59" i="35"/>
  <c r="CW14" i="35"/>
  <c r="CW22" i="35"/>
  <c r="BU6" i="35"/>
  <c r="CW58" i="35"/>
  <c r="BR6" i="35"/>
  <c r="BV6" i="35"/>
  <c r="CW50" i="35"/>
  <c r="BU8" i="35"/>
  <c r="BV9" i="35"/>
  <c r="CW9" i="35"/>
  <c r="CW43" i="35"/>
  <c r="BW17" i="35"/>
  <c r="CW13" i="35"/>
  <c r="CW30" i="35"/>
  <c r="BT8" i="35"/>
  <c r="BQ17" i="35"/>
  <c r="CW23" i="35"/>
  <c r="CW52" i="35"/>
  <c r="BQ12" i="35"/>
  <c r="BR12" i="35"/>
  <c r="CW17" i="35"/>
  <c r="BR8" i="35"/>
  <c r="CW53" i="35"/>
  <c r="BT10" i="35"/>
  <c r="BW8" i="35"/>
  <c r="CW34" i="35"/>
  <c r="BT6" i="35"/>
  <c r="BW12" i="35"/>
  <c r="CW10" i="35"/>
  <c r="CW48" i="35"/>
  <c r="BU4" i="35" l="1"/>
  <c r="BS4" i="35"/>
  <c r="BT4" i="35"/>
  <c r="BR4" i="35"/>
  <c r="BQ4" i="35"/>
  <c r="BV4" i="35"/>
  <c r="I2" i="35"/>
  <c r="I4" i="35" s="1"/>
  <c r="X31" i="35"/>
  <c r="BW4" i="35"/>
  <c r="G179" i="23"/>
  <c r="G163" i="23"/>
  <c r="G147" i="23"/>
  <c r="G131" i="23"/>
  <c r="G117" i="23"/>
  <c r="G103" i="23"/>
  <c r="G89" i="23"/>
  <c r="G75" i="23"/>
  <c r="G60" i="23"/>
  <c r="G46" i="23"/>
  <c r="G32" i="23"/>
  <c r="G18" i="23"/>
  <c r="G4" i="23"/>
  <c r="G116" i="24"/>
  <c r="G88" i="24"/>
  <c r="G74" i="24"/>
  <c r="G46" i="24"/>
  <c r="G32" i="24"/>
  <c r="G18" i="24"/>
  <c r="G4" i="24"/>
  <c r="G160" i="20"/>
  <c r="G146" i="20"/>
  <c r="G132" i="20"/>
  <c r="G118" i="20"/>
  <c r="G104" i="20"/>
  <c r="G90" i="20"/>
  <c r="G76" i="20"/>
  <c r="G62" i="20"/>
  <c r="G47" i="20"/>
  <c r="G33" i="20"/>
  <c r="G19" i="20"/>
  <c r="G4" i="20"/>
  <c r="G46" i="18"/>
  <c r="G32" i="18"/>
  <c r="G18" i="18"/>
  <c r="G4" i="18"/>
  <c r="G32" i="16"/>
  <c r="G18" i="16"/>
  <c r="G4" i="16"/>
  <c r="G32" i="15"/>
  <c r="G18" i="15"/>
  <c r="G4" i="15"/>
  <c r="G103" i="14"/>
  <c r="G89" i="14"/>
  <c r="G75" i="14"/>
  <c r="G61" i="14"/>
  <c r="G47" i="14"/>
  <c r="G32" i="14"/>
  <c r="G18" i="14"/>
  <c r="G4" i="14"/>
  <c r="G117" i="13"/>
  <c r="G103" i="13"/>
  <c r="G88" i="13"/>
  <c r="G74" i="13"/>
  <c r="G60" i="13"/>
  <c r="G46" i="13"/>
  <c r="G32" i="13"/>
  <c r="G18" i="13"/>
  <c r="G4" i="13"/>
  <c r="G60" i="12"/>
  <c r="G46" i="12"/>
  <c r="G32" i="12"/>
  <c r="G18" i="12"/>
  <c r="G4" i="12"/>
  <c r="D180" i="7"/>
  <c r="D179" i="7"/>
  <c r="D178" i="7"/>
  <c r="D177" i="7"/>
  <c r="D176" i="7"/>
  <c r="G172" i="7"/>
  <c r="D172" i="7"/>
  <c r="G158" i="7"/>
  <c r="G144" i="7"/>
  <c r="G130" i="7"/>
  <c r="G116" i="7"/>
  <c r="G102" i="7"/>
  <c r="G88" i="7"/>
  <c r="G74" i="7"/>
  <c r="G60" i="7"/>
  <c r="G46" i="7"/>
  <c r="G32" i="7"/>
  <c r="G18" i="7"/>
  <c r="CW29" i="35"/>
  <c r="CW15" i="35"/>
  <c r="CW6" i="35"/>
  <c r="CW24" i="35"/>
  <c r="CW28" i="35"/>
  <c r="CW26" i="35"/>
  <c r="CW55" i="35"/>
  <c r="CW12" i="35"/>
  <c r="CW46" i="35"/>
  <c r="CW38" i="35"/>
  <c r="CW37" i="35"/>
  <c r="CW47" i="35"/>
  <c r="CW42" i="35"/>
  <c r="CW11" i="35"/>
  <c r="CW39" i="35"/>
  <c r="CW45" i="35"/>
  <c r="CW18" i="35"/>
  <c r="CW32" i="35"/>
  <c r="CW51" i="35"/>
  <c r="CW40" i="35"/>
  <c r="CW25" i="35"/>
  <c r="CW41" i="35"/>
  <c r="CW57" i="35"/>
  <c r="CW7" i="35"/>
  <c r="CW16" i="35"/>
  <c r="CW36" i="35"/>
  <c r="CW8" i="35"/>
  <c r="CW19" i="35"/>
  <c r="BZ31" i="35"/>
  <c r="CW33" i="35"/>
  <c r="CW56" i="35"/>
  <c r="BX4" i="35" l="1"/>
  <c r="F35" i="37"/>
  <c r="F33" i="37"/>
  <c r="F34" i="37"/>
  <c r="F32" i="37"/>
  <c r="F31" i="37"/>
  <c r="F29" i="37"/>
  <c r="F28" i="37"/>
  <c r="F36" i="37"/>
  <c r="CG31" i="35"/>
  <c r="CA31" i="35"/>
  <c r="CC31" i="35"/>
  <c r="CD31" i="35"/>
  <c r="CF31" i="35"/>
  <c r="CE31" i="35"/>
  <c r="CB31" i="35"/>
  <c r="CK31" i="35" l="1"/>
  <c r="CC4" i="35"/>
  <c r="CB4" i="35"/>
  <c r="CJ31" i="35"/>
  <c r="CL31" i="35"/>
  <c r="CD4" i="35"/>
  <c r="CM31" i="35"/>
  <c r="CE4" i="35"/>
  <c r="CO31" i="35"/>
  <c r="CG4" i="35"/>
  <c r="CA4" i="35"/>
  <c r="CI31" i="35"/>
  <c r="CF4" i="35"/>
  <c r="CN31" i="35"/>
  <c r="D124" i="24"/>
  <c r="D123" i="24"/>
  <c r="D122" i="24"/>
  <c r="D121" i="24"/>
  <c r="D120" i="24"/>
  <c r="D96" i="24"/>
  <c r="D95" i="24"/>
  <c r="D94" i="24"/>
  <c r="D93" i="24"/>
  <c r="D92" i="24"/>
  <c r="D82" i="24"/>
  <c r="D81" i="24"/>
  <c r="D80" i="24"/>
  <c r="D79" i="24"/>
  <c r="D78" i="24"/>
  <c r="D54" i="24"/>
  <c r="D53" i="24"/>
  <c r="D52" i="24"/>
  <c r="D51" i="24"/>
  <c r="D50" i="24"/>
  <c r="D40" i="24"/>
  <c r="D39" i="24"/>
  <c r="D38" i="24"/>
  <c r="D37" i="24"/>
  <c r="D36" i="24"/>
  <c r="D26" i="24"/>
  <c r="D25" i="24"/>
  <c r="D24" i="24"/>
  <c r="D23" i="24"/>
  <c r="D22" i="24"/>
  <c r="D12" i="24"/>
  <c r="D11" i="24"/>
  <c r="D10" i="24"/>
  <c r="D9" i="24"/>
  <c r="D8" i="24"/>
  <c r="CQ31" i="35"/>
  <c r="CV31" i="35"/>
  <c r="CU31" i="35"/>
  <c r="CT31" i="35"/>
  <c r="CW31" i="35"/>
  <c r="CS31" i="35"/>
  <c r="CR31" i="35"/>
  <c r="CN4" i="35" l="1"/>
  <c r="CO4" i="35"/>
  <c r="CK4" i="35"/>
  <c r="CM4" i="35"/>
  <c r="CT4" i="35"/>
  <c r="DB4" i="35" s="1"/>
  <c r="F16" i="37" s="1"/>
  <c r="CW4" i="35"/>
  <c r="DE4" i="35" s="1"/>
  <c r="F19" i="37" s="1"/>
  <c r="CR4" i="35"/>
  <c r="CZ4" i="35" s="1"/>
  <c r="F14" i="37" s="1"/>
  <c r="CV4" i="35"/>
  <c r="DD4" i="35" s="1"/>
  <c r="F18" i="37" s="1"/>
  <c r="F30" i="37"/>
  <c r="CQ4" i="35"/>
  <c r="CY4" i="35" s="1"/>
  <c r="F13" i="37" s="1"/>
  <c r="CU4" i="35"/>
  <c r="DC4" i="35" s="1"/>
  <c r="F17" i="37" s="1"/>
  <c r="CS4" i="35"/>
  <c r="DA4" i="35" s="1"/>
  <c r="F15" i="37" s="1"/>
  <c r="CL4" i="35"/>
  <c r="CI4" i="35"/>
  <c r="CJ4" i="35"/>
  <c r="D187" i="23"/>
  <c r="D186" i="23"/>
  <c r="D185" i="23"/>
  <c r="D184" i="23"/>
  <c r="D183" i="23"/>
  <c r="D171" i="23"/>
  <c r="D170" i="23"/>
  <c r="D169" i="23"/>
  <c r="D168" i="23"/>
  <c r="D167" i="23"/>
  <c r="D155" i="23"/>
  <c r="D154" i="23"/>
  <c r="D153" i="23"/>
  <c r="D152" i="23"/>
  <c r="D151" i="23"/>
  <c r="D139" i="23"/>
  <c r="D138" i="23"/>
  <c r="D137" i="23"/>
  <c r="D136" i="23"/>
  <c r="D135" i="23"/>
  <c r="D125" i="23"/>
  <c r="D124" i="23"/>
  <c r="D123" i="23"/>
  <c r="D122" i="23"/>
  <c r="D121" i="23"/>
  <c r="D111" i="23"/>
  <c r="D110" i="23"/>
  <c r="D109" i="23"/>
  <c r="D108" i="23"/>
  <c r="D107" i="23"/>
  <c r="D97" i="23"/>
  <c r="D96" i="23"/>
  <c r="D95" i="23"/>
  <c r="D94" i="23"/>
  <c r="D93" i="23"/>
  <c r="D83" i="23"/>
  <c r="D82" i="23"/>
  <c r="D81" i="23"/>
  <c r="D80" i="23"/>
  <c r="D79" i="23"/>
  <c r="D179" i="23"/>
  <c r="D163" i="23"/>
  <c r="D147" i="23"/>
  <c r="D131" i="23"/>
  <c r="D117" i="23"/>
  <c r="D103" i="23"/>
  <c r="D89" i="23"/>
  <c r="D75" i="23"/>
  <c r="D60" i="23"/>
  <c r="D46" i="23"/>
  <c r="D32" i="23"/>
  <c r="D18" i="23"/>
  <c r="D68" i="23"/>
  <c r="D67" i="23"/>
  <c r="D66" i="23"/>
  <c r="D65" i="23"/>
  <c r="D64" i="23"/>
  <c r="D54" i="23"/>
  <c r="D53" i="23"/>
  <c r="D52" i="23"/>
  <c r="D51" i="23"/>
  <c r="D50" i="23"/>
  <c r="D40" i="23"/>
  <c r="D39" i="23"/>
  <c r="D38" i="23"/>
  <c r="D37" i="23"/>
  <c r="D36" i="23"/>
  <c r="D26" i="23"/>
  <c r="D25" i="23"/>
  <c r="D24" i="23"/>
  <c r="D23" i="23"/>
  <c r="D22" i="23"/>
  <c r="D12" i="23"/>
  <c r="D11" i="23"/>
  <c r="D10" i="23"/>
  <c r="D9" i="23"/>
  <c r="D8" i="23"/>
  <c r="D168" i="20"/>
  <c r="D167" i="20"/>
  <c r="D166" i="20"/>
  <c r="D165" i="20"/>
  <c r="D164" i="20"/>
  <c r="D154" i="20"/>
  <c r="D153" i="20"/>
  <c r="D152" i="20"/>
  <c r="D151" i="20"/>
  <c r="D150" i="20"/>
  <c r="D140" i="20"/>
  <c r="D139" i="20"/>
  <c r="D138" i="20"/>
  <c r="D137" i="20"/>
  <c r="D136" i="20"/>
  <c r="D126" i="20"/>
  <c r="D125" i="20"/>
  <c r="D124" i="20"/>
  <c r="D123" i="20"/>
  <c r="D122" i="20"/>
  <c r="D112" i="20"/>
  <c r="D111" i="20"/>
  <c r="D110" i="20"/>
  <c r="D109" i="20"/>
  <c r="D108" i="20"/>
  <c r="D98" i="20"/>
  <c r="D97" i="20"/>
  <c r="D96" i="20"/>
  <c r="D95" i="20"/>
  <c r="D94" i="20"/>
  <c r="D84" i="20"/>
  <c r="D83" i="20"/>
  <c r="D82" i="20"/>
  <c r="D81" i="20"/>
  <c r="D80" i="20"/>
  <c r="D70" i="20"/>
  <c r="D69" i="20"/>
  <c r="D68" i="20"/>
  <c r="D67" i="20"/>
  <c r="D66" i="20"/>
  <c r="D55" i="20"/>
  <c r="D54" i="20"/>
  <c r="D53" i="20"/>
  <c r="D52" i="20"/>
  <c r="D51" i="20"/>
  <c r="D41" i="20"/>
  <c r="D40" i="20"/>
  <c r="D39" i="20"/>
  <c r="D38" i="20"/>
  <c r="D37" i="20"/>
  <c r="D27" i="20"/>
  <c r="D26" i="20"/>
  <c r="D25" i="20"/>
  <c r="D24" i="20"/>
  <c r="D23" i="20"/>
  <c r="D12" i="20"/>
  <c r="D11" i="20"/>
  <c r="D10" i="20"/>
  <c r="D9" i="20"/>
  <c r="D8" i="20"/>
  <c r="D54" i="18"/>
  <c r="D53" i="18"/>
  <c r="D52" i="18"/>
  <c r="D51" i="18"/>
  <c r="D50" i="18"/>
  <c r="D40" i="18"/>
  <c r="D39" i="18"/>
  <c r="D38" i="18"/>
  <c r="D37" i="18"/>
  <c r="D36" i="18"/>
  <c r="D26" i="18"/>
  <c r="D25" i="18"/>
  <c r="D24" i="18"/>
  <c r="D23" i="18"/>
  <c r="D22" i="18"/>
  <c r="D12" i="18"/>
  <c r="D11" i="18"/>
  <c r="D10" i="18"/>
  <c r="D9" i="18"/>
  <c r="D8" i="18"/>
  <c r="D4" i="18"/>
  <c r="D4" i="23"/>
  <c r="CX4" i="35" l="1"/>
  <c r="DF4" i="35" s="1"/>
  <c r="F8" i="37" s="1"/>
  <c r="D10" i="15"/>
  <c r="D19" i="38" l="1"/>
  <c r="D68" i="7"/>
  <c r="D67" i="7"/>
  <c r="D66" i="7"/>
  <c r="D65" i="7"/>
  <c r="D64" i="7"/>
  <c r="D60" i="7"/>
  <c r="D74" i="7"/>
  <c r="D40" i="16" l="1"/>
  <c r="D39" i="16"/>
  <c r="D38" i="16"/>
  <c r="D37" i="16"/>
  <c r="D36" i="16"/>
  <c r="D32" i="16"/>
  <c r="D26" i="16"/>
  <c r="D25" i="16"/>
  <c r="D24" i="16"/>
  <c r="D23" i="16"/>
  <c r="D22" i="16"/>
  <c r="D18" i="16"/>
  <c r="D12" i="16"/>
  <c r="D11" i="16"/>
  <c r="D10" i="16"/>
  <c r="D9" i="16"/>
  <c r="D8" i="16"/>
  <c r="D4" i="16"/>
  <c r="D39" i="15"/>
  <c r="D38" i="15"/>
  <c r="D37" i="15"/>
  <c r="D36" i="15"/>
  <c r="D26" i="15"/>
  <c r="D25" i="15"/>
  <c r="D24" i="15"/>
  <c r="D23" i="15"/>
  <c r="D22" i="15"/>
  <c r="D18" i="15"/>
  <c r="D12" i="15"/>
  <c r="D11" i="15"/>
  <c r="D9" i="15"/>
  <c r="D8" i="15"/>
  <c r="D4" i="15"/>
  <c r="D111" i="14"/>
  <c r="D110" i="14"/>
  <c r="D109" i="14"/>
  <c r="D108" i="14"/>
  <c r="D107" i="14"/>
  <c r="D103" i="14"/>
  <c r="D97" i="14"/>
  <c r="D96" i="14"/>
  <c r="D95" i="14"/>
  <c r="D94" i="14"/>
  <c r="D93" i="14"/>
  <c r="D89" i="14"/>
  <c r="D83" i="14"/>
  <c r="D82" i="14"/>
  <c r="D81" i="14"/>
  <c r="D80" i="14"/>
  <c r="D79" i="14"/>
  <c r="D75" i="14"/>
  <c r="D69" i="14"/>
  <c r="D68" i="14"/>
  <c r="D67" i="14"/>
  <c r="D66" i="14"/>
  <c r="D65" i="14"/>
  <c r="D61" i="14"/>
  <c r="D55" i="14"/>
  <c r="D54" i="14"/>
  <c r="D53" i="14"/>
  <c r="D52" i="14"/>
  <c r="D51" i="14"/>
  <c r="D47" i="14"/>
  <c r="D40" i="14"/>
  <c r="D39" i="14"/>
  <c r="D38" i="14"/>
  <c r="D37" i="14"/>
  <c r="D36" i="14"/>
  <c r="D32" i="14"/>
  <c r="D26" i="14"/>
  <c r="D25" i="14"/>
  <c r="D24" i="14"/>
  <c r="D23" i="14"/>
  <c r="D22" i="14"/>
  <c r="D18" i="14"/>
  <c r="D12" i="14"/>
  <c r="D11" i="14"/>
  <c r="D10" i="14"/>
  <c r="D9" i="14"/>
  <c r="D8" i="14"/>
  <c r="D4" i="14"/>
  <c r="D125" i="13"/>
  <c r="D124" i="13"/>
  <c r="D123" i="13"/>
  <c r="D122" i="13"/>
  <c r="D121" i="13"/>
  <c r="D117" i="13"/>
  <c r="D111" i="13"/>
  <c r="D110" i="13"/>
  <c r="D109" i="13"/>
  <c r="D108" i="13"/>
  <c r="D107" i="13"/>
  <c r="D103" i="13"/>
  <c r="D96" i="13"/>
  <c r="D95" i="13"/>
  <c r="D94" i="13"/>
  <c r="D93" i="13"/>
  <c r="D92" i="13"/>
  <c r="D88" i="13"/>
  <c r="D82" i="13"/>
  <c r="D81" i="13"/>
  <c r="D80" i="13"/>
  <c r="D79" i="13"/>
  <c r="D78" i="13"/>
  <c r="D74" i="13"/>
  <c r="D68" i="13"/>
  <c r="D67" i="13"/>
  <c r="D66" i="13"/>
  <c r="D65" i="13"/>
  <c r="D64" i="13"/>
  <c r="D60" i="13"/>
  <c r="D54" i="13"/>
  <c r="D53" i="13"/>
  <c r="D52" i="13"/>
  <c r="D51" i="13"/>
  <c r="D50" i="13"/>
  <c r="D46" i="13"/>
  <c r="D40" i="13"/>
  <c r="D39" i="13"/>
  <c r="D38" i="13"/>
  <c r="D37" i="13"/>
  <c r="D36" i="13"/>
  <c r="D32" i="13"/>
  <c r="D26" i="13"/>
  <c r="D25" i="13"/>
  <c r="D24" i="13"/>
  <c r="D23" i="13"/>
  <c r="D22" i="13"/>
  <c r="D18" i="13"/>
  <c r="D12" i="13"/>
  <c r="D11" i="13"/>
  <c r="D10" i="13"/>
  <c r="D9" i="13"/>
  <c r="D8" i="13"/>
  <c r="D4" i="13"/>
  <c r="D68" i="12"/>
  <c r="D67" i="12"/>
  <c r="D66" i="12"/>
  <c r="D65" i="12"/>
  <c r="D64" i="12"/>
  <c r="D60" i="12"/>
  <c r="D54" i="12"/>
  <c r="D53" i="12"/>
  <c r="D52" i="12"/>
  <c r="D51" i="12"/>
  <c r="D50" i="12"/>
  <c r="D46" i="12"/>
  <c r="D40" i="12"/>
  <c r="D39" i="12"/>
  <c r="D38" i="12"/>
  <c r="D37" i="12"/>
  <c r="D36" i="12"/>
  <c r="D32" i="12"/>
  <c r="D26" i="12"/>
  <c r="D24" i="12"/>
  <c r="D23" i="12"/>
  <c r="D22" i="12"/>
  <c r="D18" i="12"/>
  <c r="D12" i="12"/>
  <c r="D11" i="12"/>
  <c r="D10" i="12"/>
  <c r="D9" i="12"/>
  <c r="D8" i="12"/>
  <c r="D4" i="12"/>
  <c r="D166" i="7"/>
  <c r="D165" i="7"/>
  <c r="D164" i="7"/>
  <c r="D163" i="7"/>
  <c r="D162" i="7"/>
  <c r="D152" i="7"/>
  <c r="D151" i="7"/>
  <c r="D150" i="7"/>
  <c r="D149" i="7"/>
  <c r="D148" i="7"/>
  <c r="D138" i="7"/>
  <c r="D137" i="7"/>
  <c r="D136" i="7"/>
  <c r="D135" i="7"/>
  <c r="D134" i="7"/>
  <c r="D124" i="7"/>
  <c r="D123" i="7"/>
  <c r="D122" i="7"/>
  <c r="D121" i="7"/>
  <c r="D120" i="7"/>
  <c r="D110" i="7"/>
  <c r="D109" i="7"/>
  <c r="D108" i="7"/>
  <c r="D107" i="7"/>
  <c r="D106" i="7"/>
  <c r="D96" i="7"/>
  <c r="D95" i="7"/>
  <c r="D94" i="7"/>
  <c r="D93" i="7"/>
  <c r="D92" i="7"/>
  <c r="D82" i="7"/>
  <c r="D81" i="7"/>
  <c r="D80" i="7"/>
  <c r="D79" i="7"/>
  <c r="D78" i="7"/>
  <c r="D54" i="7"/>
  <c r="D53" i="7"/>
  <c r="D52" i="7"/>
  <c r="D51" i="7"/>
  <c r="D50" i="7"/>
  <c r="D40" i="7"/>
  <c r="D39" i="7"/>
  <c r="D38" i="7"/>
  <c r="D37" i="7"/>
  <c r="D36" i="7"/>
  <c r="D26" i="7"/>
  <c r="D12" i="7"/>
  <c r="D25" i="7" l="1"/>
  <c r="D24" i="7"/>
  <c r="D23" i="7"/>
  <c r="D22" i="7"/>
  <c r="D11" i="7"/>
  <c r="D10" i="7"/>
  <c r="D9" i="7"/>
  <c r="D8" i="7"/>
  <c r="D158" i="7"/>
  <c r="D144" i="7"/>
  <c r="D130" i="7"/>
  <c r="D116" i="7"/>
  <c r="D102" i="7"/>
  <c r="D88" i="7"/>
  <c r="D46" i="7"/>
  <c r="D32" i="7"/>
  <c r="D18" i="7"/>
  <c r="G4" i="7"/>
  <c r="D4" i="7"/>
  <c r="D32" i="15" l="1"/>
  <c r="B76" i="36" l="1"/>
</calcChain>
</file>

<file path=xl/sharedStrings.xml><?xml version="1.0" encoding="utf-8"?>
<sst xmlns="http://schemas.openxmlformats.org/spreadsheetml/2006/main" count="10315" uniqueCount="1182">
  <si>
    <t>It contains following tabs:</t>
  </si>
  <si>
    <t>* Overview_of_services</t>
  </si>
  <si>
    <t>* tabs for the various domains: heating, dhw, cooling, etc.</t>
  </si>
  <si>
    <t>Domain</t>
  </si>
  <si>
    <t>Code</t>
  </si>
  <si>
    <t>Service group</t>
  </si>
  <si>
    <t>Smart ready service</t>
  </si>
  <si>
    <t>Functionality level 0 (as non-smart default)</t>
  </si>
  <si>
    <t>Functionality level 1</t>
  </si>
  <si>
    <t>Functionality level 2</t>
  </si>
  <si>
    <t>Functionality level 3</t>
  </si>
  <si>
    <t>Functionality level 4</t>
  </si>
  <si>
    <t>Standard used</t>
  </si>
  <si>
    <t>Actionable</t>
  </si>
  <si>
    <t>part of the proposed simplified indicator</t>
  </si>
  <si>
    <t>Preconditions / Dependency on other services or building types</t>
  </si>
  <si>
    <t>Comments</t>
  </si>
  <si>
    <t>Basis for impacts ascribed to functionality</t>
  </si>
  <si>
    <t>Usual scale of impact</t>
  </si>
  <si>
    <t>Degree by which the impact can be ascribed to the functionality</t>
  </si>
  <si>
    <t>Degree to which the functionality can be determined by inspection</t>
  </si>
  <si>
    <t>Heating</t>
  </si>
  <si>
    <t>Heating-1a</t>
  </si>
  <si>
    <t>Heat control - demand side</t>
  </si>
  <si>
    <t>Heat emission control</t>
  </si>
  <si>
    <t>No automatic control</t>
  </si>
  <si>
    <t>Central automatic control (e.g. central thermostat)</t>
  </si>
  <si>
    <t>Individual room control (e.g. thermostatic valves, or electronic controller)</t>
  </si>
  <si>
    <t>Individual room control with communication between controllers and to BACS</t>
  </si>
  <si>
    <t>Individual room control with communication and presence control</t>
  </si>
  <si>
    <t>EN 15232</t>
  </si>
  <si>
    <t>Always to be assessed</t>
  </si>
  <si>
    <t xml:space="preserve">Average impacts derived from multiple simulations to produce BACS factors in EN15232. </t>
  </si>
  <si>
    <t>Building energy simulation for EN15232</t>
  </si>
  <si>
    <t>High</t>
  </si>
  <si>
    <t>High - taken directly from EN15232</t>
  </si>
  <si>
    <t>High but levels 3 and 4 are harder to assess</t>
  </si>
  <si>
    <t>heating</t>
  </si>
  <si>
    <t>Heating-1b</t>
  </si>
  <si>
    <t>Emission control for TABS (heating mode)</t>
  </si>
  <si>
    <t>Central automatic control</t>
  </si>
  <si>
    <t>Advanced central automatic control</t>
  </si>
  <si>
    <t>Advanced central automatic control with intermittent operation and/or room temperature feedback control</t>
  </si>
  <si>
    <t>Triage: only relevant in case of TABS. Mostly restricted to non-residential buildings</t>
  </si>
  <si>
    <t xml:space="preserve">Level 2 functionality will not be evident from simple inspection, thus some other mechanism will be needed to facilitate assessment. Average impacts derived from multiple simulations to produce BACS factors in EN15232. </t>
  </si>
  <si>
    <t>Medium but level 2 will be hard to assess</t>
  </si>
  <si>
    <t>Heating-1c</t>
  </si>
  <si>
    <t>Control of distribution fluid temperature (supply or return air flow or water flow) - Similar function can be applied to the control of direct electric heating networks</t>
  </si>
  <si>
    <t>Outside temperature compensated control</t>
  </si>
  <si>
    <t>Demand based control</t>
  </si>
  <si>
    <t>Not applicable in case of individual heaters (e.g. stoves)</t>
  </si>
  <si>
    <t xml:space="preserve">Level 2 functionality will not be evident from simple inspection, thus some other mechanism will be needed to facilitate assessment. For level 1 inspection will suffice. Average impacts derived from multiple simulations to produce BACS factors in EN15232. </t>
  </si>
  <si>
    <t>Heating-1d</t>
  </si>
  <si>
    <t>Control of distribution pumps in networks</t>
  </si>
  <si>
    <t>On off control</t>
  </si>
  <si>
    <t>Multi-Stage control</t>
  </si>
  <si>
    <t>Variable speed pump control (pump unit (internal) estimations)</t>
  </si>
  <si>
    <t>Variable speed pump control (external demand signal)</t>
  </si>
  <si>
    <t>Only applicable for hydronic heating systems</t>
  </si>
  <si>
    <t xml:space="preserve">The level of functionality has a big impact on pump energy demand but this is usually a medium-sized load. The inspectability of the nature of the control algorithm would need to be facilitated. Average impacts derived from multiple simulations to produce BACS factors in EN15232. </t>
  </si>
  <si>
    <t>Medium</t>
  </si>
  <si>
    <t>Medium - presence of VSD pumps is evident from inspection but their control algorithms less so</t>
  </si>
  <si>
    <t>Heating-1e</t>
  </si>
  <si>
    <t>Intermittent control of emission and/or distribution - One controller can control different rooms/zones having same occupancy patterns</t>
  </si>
  <si>
    <t>Automatic control with fixed time program</t>
  </si>
  <si>
    <t>Automatic control with optimum start/stop</t>
  </si>
  <si>
    <t>Automatic control with demand evaluation</t>
  </si>
  <si>
    <t xml:space="preserve">The inspectability of the nature of the control algorithm would need to be facilitated for levels 2 and 3. Average impacts derived from multiple simulations to produce BACS factors in EN15232. </t>
  </si>
  <si>
    <t>Low/Medium</t>
  </si>
  <si>
    <t>Heating-1f</t>
  </si>
  <si>
    <t>Thermal Energy Storage (TES) for building heating (excluding TABS)</t>
  </si>
  <si>
    <t>Continuous storage operation</t>
  </si>
  <si>
    <t>Time-scheduled storage operation</t>
  </si>
  <si>
    <t>Load prediction based storage operation</t>
  </si>
  <si>
    <t xml:space="preserve">Only applicable in case thermal energy storage is present. </t>
  </si>
  <si>
    <t xml:space="preserve">Note this is service 1.10 in EN15232-1-2017. The inspectability of the nature of the control algorithm would need to be facilitated for levels 1 and 2. Average impacts derived from multiple simulations to produce BACS factors in EN15232. </t>
  </si>
  <si>
    <t>Heating-1g</t>
  </si>
  <si>
    <t>Building preheating control</t>
  </si>
  <si>
    <t>Program heating schedule in advance</t>
  </si>
  <si>
    <t>Thermostat self-learning user behavior (presence, setpoint)</t>
  </si>
  <si>
    <t>This sub-service could be deleted as it is not in EN15232 and its service seems to be largely covered by other sub-services which are, notably: optimum/stop start and Automatic control with demand evaluation in Heating 1e/Individual room control with communication and presence control in Heating 1a</t>
  </si>
  <si>
    <t>None</t>
  </si>
  <si>
    <t>NA</t>
  </si>
  <si>
    <t>Low</t>
  </si>
  <si>
    <t>Heating-2a</t>
  </si>
  <si>
    <t>Control heat production facilities</t>
  </si>
  <si>
    <t>Constant temperature control</t>
  </si>
  <si>
    <t>Variable temperature control depending on outdoor temperature</t>
  </si>
  <si>
    <t>Variable temperature control depending on the load (e.g. depending on supply water temperature set point)</t>
  </si>
  <si>
    <t>Only applicable in case of combustion heater or district heating</t>
  </si>
  <si>
    <t xml:space="preserve">The inspectability of the nature of the control algorithm would need to be facilitated for levels 1 and 2. Average impacts derived from multiple simulations to produce BACS factors in EN15232. </t>
  </si>
  <si>
    <t>High/Medium</t>
  </si>
  <si>
    <t>Heating-2b</t>
  </si>
  <si>
    <t>Heat generator control (for heat pumps)</t>
  </si>
  <si>
    <t>On/Off-control of heat generator</t>
  </si>
  <si>
    <t>Multi-stage control of heat generator capacity depending on the load or demand (e.g. on/off of several compressors)</t>
  </si>
  <si>
    <t>Variable control of heat generator capacity depending on the load or demand (e.g. hot gas bypass, inverter frequency control)</t>
  </si>
  <si>
    <t>Variable control of heat generator capacity depending on the load AND external signals from grid</t>
  </si>
  <si>
    <t>EN 15232 + expanded</t>
  </si>
  <si>
    <t>Only applicable in case of heat pumps</t>
  </si>
  <si>
    <t xml:space="preserve">The inspectability of the nature of the control algorithm would need to be facilitated for levels 1 and 2; however, inverter capability of HPs is usually clearly indicated in the product literature. Note EN15232-1-2017 has added another sub-service for the outdoor unit which is not included here. Average impacts derived from multiple simulations to produce BACS factors in EN15232. </t>
  </si>
  <si>
    <t>Heating-2c</t>
  </si>
  <si>
    <t>Sequencing of different heat generators</t>
  </si>
  <si>
    <t>Priorities only based on running time</t>
  </si>
  <si>
    <t>Load prediction based sequencing</t>
  </si>
  <si>
    <t>Only applicable in case of multiple heat generators, mostly restricted to large buildings</t>
  </si>
  <si>
    <t xml:space="preserve">The inspectability of the nature of the control algorithm would need to be facilitated for levels 1 to 3. Note a) this service has been updated here to match the functional definitions in EN15232-1-2017 which are amended from the earlier version. Note b), this capability is only relevant when different generators are present. Average impacts derived from multiple simulations to produce BACS factors in EN15232. </t>
  </si>
  <si>
    <t>Heating-2d</t>
  </si>
  <si>
    <t>Heat system control according to external signal (e.g. electricity tariff, gas pricing, load shedding signal etc.)</t>
  </si>
  <si>
    <t>No automatic control based on external signals</t>
  </si>
  <si>
    <t>Heat system control according to external signals (tariff, availability of renewables, etc.)</t>
  </si>
  <si>
    <t>Heat system control according to external signals combined with internal signals (predicted demand, temperature etc.)</t>
  </si>
  <si>
    <t>?</t>
  </si>
  <si>
    <t xml:space="preserve">This capability is not defined in any standards. The inspectability of the nature of the control algorithm would need to be facilitated for levels 1 and 2. Average impacts derived from multiple simulations to produce BACS factors in EN15232. </t>
  </si>
  <si>
    <t>Heating-2e</t>
  </si>
  <si>
    <t>Control of on-site waste heat recovery  fed into the heating system (e.g. excess heat from data centers)</t>
  </si>
  <si>
    <t>No heat recovery control</t>
  </si>
  <si>
    <t xml:space="preserve">Heat recovery on/off control based on availability </t>
  </si>
  <si>
    <t>Variable control of waste heat recovery (modulating power based on needs and waste heat availability)</t>
  </si>
  <si>
    <t xml:space="preserve">Variable control of waste heat recovery with possibility to store excess heat or time shift heat recovery </t>
  </si>
  <si>
    <t>No standards available</t>
  </si>
  <si>
    <t>Only applicable in case of large waste heat.</t>
  </si>
  <si>
    <t xml:space="preserve">This service is amended from Task 1 to be aligned with EN15232-1-2017 (service 7.6). Classifying managed waste heat use/heat shifting is likely to require facilitation. Average impacts derived from multiple simulations to produce BACS factors in EN15232. </t>
  </si>
  <si>
    <t>Medium - taken directly from EN15232</t>
  </si>
  <si>
    <t>Heating-3</t>
  </si>
  <si>
    <t>Information to occupants and facility managers</t>
  </si>
  <si>
    <t>Report information regarding HEATING system performance</t>
  </si>
  <si>
    <t>Indication of actual values (e.g. temperatures, submetering energy usage)</t>
  </si>
  <si>
    <t>Actual values and historical data</t>
  </si>
  <si>
    <t>Performance evaluation including forecasting and/or benchmarking</t>
  </si>
  <si>
    <t>Performance evaluation including forecasting and/or benchmarking; also including predictive management and fault detection</t>
  </si>
  <si>
    <t>Heating-4</t>
  </si>
  <si>
    <t>DSM control of equipment</t>
  </si>
  <si>
    <t>Not present</t>
  </si>
  <si>
    <t>Heating system subject to Demand Side Management</t>
  </si>
  <si>
    <t xml:space="preserve">The inspectability of the nature of the control algorithm would need to be facilitated </t>
  </si>
  <si>
    <t>Medium/High</t>
  </si>
  <si>
    <t>Domestic hot water</t>
  </si>
  <si>
    <t>DHW-1a</t>
  </si>
  <si>
    <t>Control DHW production facilities</t>
  </si>
  <si>
    <t>Control of DHW storage charging (with direct electric heating or integrated electric heat pump)</t>
  </si>
  <si>
    <t>Automatic control on / off</t>
  </si>
  <si>
    <t>Automatic control on / off and scheduled charging enable</t>
  </si>
  <si>
    <t>Automatic control on / off and scheduled charging enable and multi-sensor storage management</t>
  </si>
  <si>
    <t xml:space="preserve">Automatic charging control based on local availability of renewables or information from electricity grid (DR, DSM) </t>
  </si>
  <si>
    <t>EN 15232, except level 3</t>
  </si>
  <si>
    <t>Only applicable in case of DHW storage with electric heating</t>
  </si>
  <si>
    <t xml:space="preserve">The wording re the functionality is slightly amended to be aligned with EN15232-1-2017 (service 2.1). The inspectability of the nature of the control algorithm would need to be facilitated for levels 1 and 2. Average impacts derived from multiple simulations to produce BACS factors in EN15232. </t>
  </si>
  <si>
    <t>DHW-1b</t>
  </si>
  <si>
    <t>Control of DHW storage charging (using hot water generation)</t>
  </si>
  <si>
    <t>Automatic on/off control, scheduled charging enable and demand-based supply temperature control or multi-sensor storage management</t>
  </si>
  <si>
    <t xml:space="preserve">Automatic charging control based on signals from district heating grid (DR, DSM) </t>
  </si>
  <si>
    <t>Only applicable in case of DHW storage with non-electrical heat  generation</t>
  </si>
  <si>
    <t xml:space="preserve">The wording re the functionality and the number of functional levels is amended from previous versions to be aligned with EN15232-1-2017 (service 2.2). The inspectability of the nature of the control algorithm would need to be facilitated for levels 1 and 2. Average impacts derived from multiple simulations to produce BACS factors in EN15232. </t>
  </si>
  <si>
    <t>DHW-1c</t>
  </si>
  <si>
    <t>Control of DHW storage temperature, varying seasonally: with heat generation or integrated electric heating</t>
  </si>
  <si>
    <t>Manual selected control with charging pump on / off or electric heating</t>
  </si>
  <si>
    <t>Automatic selected control with charging pump on / off or electric heating and charging time release</t>
  </si>
  <si>
    <t>Automatic selected control with charging pump on / off or electric heating, charging time release and demand-oriented supply or multi-sensor storage management</t>
  </si>
  <si>
    <t>Automatic selected control with heat generation, demand-oriented supply and return temperature control or electric heating, charging time release and multi-sensor storage management</t>
  </si>
  <si>
    <t xml:space="preserve">This capability is no longer within EN15232 (version-1-17). </t>
  </si>
  <si>
    <t>High - taken directly from EN15232:2012</t>
  </si>
  <si>
    <t>DHW-1d</t>
  </si>
  <si>
    <t>Control of DHW storage charging (with solar collector and supplymentary heat generation)</t>
  </si>
  <si>
    <t>Manual selected control of solar energy or heat generation</t>
  </si>
  <si>
    <t>Automatic control of solar storage charge (Prio. 1) and supplementary storage charge</t>
  </si>
  <si>
    <t>Automatic control of solar storage charge (Prio. 1) and supplementary storage charge and demand-oriented supply or multi-sensor storage management</t>
  </si>
  <si>
    <t>Automatic control of solar storage charge (Prio. 1) and supplementary storage charge, demand-oriented supply and return temperature control and multi-sensor storage management</t>
  </si>
  <si>
    <t>Only applicable in case of DHW storage with solar collector</t>
  </si>
  <si>
    <t xml:space="preserve"> The inspectability of the nature of the control algorithm would need to be facilitated for levels 1 to 3. Average impacts derived from multiple simulations to produce BACS factors in EN15232. </t>
  </si>
  <si>
    <t>DHW-2</t>
  </si>
  <si>
    <t>DHW control - demand side</t>
  </si>
  <si>
    <t>Control of DHW circulation pump</t>
  </si>
  <si>
    <t>No control</t>
  </si>
  <si>
    <t>Control with time switch program</t>
  </si>
  <si>
    <t>Demand-oriented control</t>
  </si>
  <si>
    <t>Only applicable in case of DHW circulation pump</t>
  </si>
  <si>
    <t xml:space="preserve">The wording re the functionality and the number of functional levels is amended from Task 1 to be aligned with EN15232-1-2017 (service 2.4). Average impacts derived from multiple simulations to produce BACS factors in EN15232. </t>
  </si>
  <si>
    <t>DHW-3</t>
  </si>
  <si>
    <t>Report information regarding domestic hot water performance</t>
  </si>
  <si>
    <t>DHW-4</t>
  </si>
  <si>
    <t>Domestic Hot Water production subject to Demand Side Management</t>
  </si>
  <si>
    <t>Cooling</t>
  </si>
  <si>
    <t>Cooling-1a</t>
  </si>
  <si>
    <t>Cooling control - demand side</t>
  </si>
  <si>
    <t>Cooling emission control</t>
  </si>
  <si>
    <t>Individual room control REF</t>
  </si>
  <si>
    <t>Only applicable in case mechanical cooling systems are present</t>
  </si>
  <si>
    <t xml:space="preserve">EN15232-1-2017 (service 2.1). The inspectability of the nature of the control algorithm would need to be facilitated for levels 1 and 2. Average impacts derived from multiple simulations to produce BACS factors in EN15232. </t>
  </si>
  <si>
    <t>High when cooling is significant</t>
  </si>
  <si>
    <t>Cooling-1b</t>
  </si>
  <si>
    <t>Emission control for TABS (cooling mode)</t>
  </si>
  <si>
    <t>Only applicable in case mechanical cooling systems  based on TABS are present</t>
  </si>
  <si>
    <t xml:space="preserve">Functionality will not be evident from simple inspection, thus some other mechanism will be needed to facilitate assessment. Average impacts derived from multiple simulations to produce BACS factors in EN15232. </t>
  </si>
  <si>
    <t>Cooling-1c</t>
  </si>
  <si>
    <t>Control of distribution network chilled water temperature (supply or return)</t>
  </si>
  <si>
    <t>Only applicable in case mechanical cooling systems  with hydronic distribution system are present</t>
  </si>
  <si>
    <t>Cooling-1d</t>
  </si>
  <si>
    <t>Cooling-1e</t>
  </si>
  <si>
    <t>Intermittent control of emission and/or distribution</t>
  </si>
  <si>
    <t>Cooling-1f</t>
  </si>
  <si>
    <t>Interlock between heating and cooling control of emission and/or distribution</t>
  </si>
  <si>
    <t>No interlock</t>
  </si>
  <si>
    <t>Partial interlock (dependant of the HVAC system)</t>
  </si>
  <si>
    <t>Total interlock</t>
  </si>
  <si>
    <t xml:space="preserve">Interlocks can be visually inspected but are not necessarily simple to do so. Average impacts derived from multiple simulations to produce BACS factors in EN15232. </t>
  </si>
  <si>
    <t>Cooling-1g</t>
  </si>
  <si>
    <t>Control of Thermal Energy Storage (TES) operation</t>
  </si>
  <si>
    <t>Only applicable in case mechanical cooling systems are present ánd include TES systems</t>
  </si>
  <si>
    <t xml:space="preserve">Note this is service 3.9 in EN15232-1-2017. The inspectability of the nature of the control algorithm would need to be facilitated for levels 1 and 2. Average impacts derived from multiple simulations to produce BACS factors in EN15232. </t>
  </si>
  <si>
    <t>Cooling-2a</t>
  </si>
  <si>
    <t>Control cooling production facilities</t>
  </si>
  <si>
    <t>Generator control for cooling</t>
  </si>
  <si>
    <t>Variable temperature control depending on the load</t>
  </si>
  <si>
    <t>Cooling-2b</t>
  </si>
  <si>
    <t>Sequencing of different cooling generators</t>
  </si>
  <si>
    <t>Priorities only based on running times</t>
  </si>
  <si>
    <t>Priorities only based on loads</t>
  </si>
  <si>
    <t>Priorities based on generator efficiency and characteristics</t>
  </si>
  <si>
    <t>Only applicable in case multiple mechanical cooling systems are present</t>
  </si>
  <si>
    <t>Cooling-3</t>
  </si>
  <si>
    <t>Report information regarding cooling system performance</t>
  </si>
  <si>
    <t>Cooling-4</t>
  </si>
  <si>
    <t>Cooling subject to Demand Side Management</t>
  </si>
  <si>
    <t>Controlled ventilation</t>
  </si>
  <si>
    <t>Ventilation-1a</t>
  </si>
  <si>
    <t>Air flow control</t>
  </si>
  <si>
    <t>Supply air flow control at the room level</t>
  </si>
  <si>
    <t>Occupancy detection control</t>
  </si>
  <si>
    <t xml:space="preserve">EN15232-1-2017 (service 4.1). The inspectability of the nature of the control algorithm would need to be facilitated for levels 1 and 2. Average impacts derived from multiple simulations to produce BACS factors in EN15232. </t>
  </si>
  <si>
    <t>Medium when ventilation is significant</t>
  </si>
  <si>
    <t>Ventilation-1b</t>
  </si>
  <si>
    <t>Adjust the outdoor air flow or exhaust air rate</t>
  </si>
  <si>
    <t>Fixed OA ratio / OA flow</t>
  </si>
  <si>
    <t>Staged (low/high) OA ratio / OA flow (time schedule)</t>
  </si>
  <si>
    <t>Staged (low/high) OA ratio / OA flow (presence)</t>
  </si>
  <si>
    <t>Variable control</t>
  </si>
  <si>
    <t xml:space="preserve"> Average impacts derived from multiple simulations to produce BACS factors in EN15232. </t>
  </si>
  <si>
    <t>Medium-Low when ventilation is significant</t>
  </si>
  <si>
    <t>Ventilation-1c</t>
  </si>
  <si>
    <t>Air flow or pressure control at the air handler level</t>
  </si>
  <si>
    <t>On off time control</t>
  </si>
  <si>
    <t>Multi-stage control</t>
  </si>
  <si>
    <t>Automatic flow or pressure control (without reset)</t>
  </si>
  <si>
    <t>Automatic flow or pressure control (with reset)</t>
  </si>
  <si>
    <t>Only in case of mechanical ventilation</t>
  </si>
  <si>
    <t>Ventilation-2a</t>
  </si>
  <si>
    <t>Air temperature control</t>
  </si>
  <si>
    <t>Room air temp. control (all-air systems)</t>
  </si>
  <si>
    <t>on-off capacity control</t>
  </si>
  <si>
    <t>variable capacity control</t>
  </si>
  <si>
    <t>Demand control</t>
  </si>
  <si>
    <t>Only in case of mechanical ventilation with all-air system</t>
  </si>
  <si>
    <t>Ventilation-2b</t>
  </si>
  <si>
    <t>Room air temp. control (Combined air-water systems)</t>
  </si>
  <si>
    <t>No coordination</t>
  </si>
  <si>
    <t>Coordination</t>
  </si>
  <si>
    <t>Only in case of mechanical ventilation with combined air-water systems</t>
  </si>
  <si>
    <t>Ventilation-2c</t>
  </si>
  <si>
    <t>Heat recovery control:
prevention of overheating</t>
  </si>
  <si>
    <t>Without overheating control</t>
  </si>
  <si>
    <t>Modulate or bypass heat recovery based on sensors in air exhaust</t>
  </si>
  <si>
    <t>Modulate or bypass heat recovery based on multiple room temperature sensors or predictive control</t>
  </si>
  <si>
    <t>Only in case of mechanical ventilation with heat recovery</t>
  </si>
  <si>
    <t>Medium/Low</t>
  </si>
  <si>
    <t>Ventilation-2d</t>
  </si>
  <si>
    <t>Supply air temperature control</t>
  </si>
  <si>
    <t>Constant set point</t>
  </si>
  <si>
    <t>Variable set point with outdoor temperature compensation</t>
  </si>
  <si>
    <t>Variable set point with load dependant compensation</t>
  </si>
  <si>
    <t>Only in case of mechanical ventilation which supplies heating</t>
  </si>
  <si>
    <t>Medium but level 3 will be hard to assess</t>
  </si>
  <si>
    <t>Ventilation-3</t>
  </si>
  <si>
    <t>Free cooling</t>
  </si>
  <si>
    <t>Free cooling with mechanical ventilation system</t>
  </si>
  <si>
    <t>Night cooling</t>
  </si>
  <si>
    <t>H,x- directed control</t>
  </si>
  <si>
    <t>Only in case of mechanical or hybrid ventilation</t>
  </si>
  <si>
    <t>Ventilation-4</t>
  </si>
  <si>
    <t>MV system operation</t>
  </si>
  <si>
    <t>Heat recovery control:
icing protection</t>
  </si>
  <si>
    <t>Without icing protection control:</t>
  </si>
  <si>
    <t>With icing protection control:</t>
  </si>
  <si>
    <t>Not part of current version of SRI</t>
  </si>
  <si>
    <t>Difficult to assess, limited impacts</t>
  </si>
  <si>
    <t>Ventilation-5</t>
  </si>
  <si>
    <t>Humidity control</t>
  </si>
  <si>
    <t>Dew point control</t>
  </si>
  <si>
    <t>Direct humidity control</t>
  </si>
  <si>
    <t>Ventilation-6</t>
  </si>
  <si>
    <t xml:space="preserve">Feedback - Reporting information </t>
  </si>
  <si>
    <t>Reporting information regarding IAQ</t>
  </si>
  <si>
    <t xml:space="preserve"> / </t>
  </si>
  <si>
    <t>Lighting</t>
  </si>
  <si>
    <t>Lighting-1a</t>
  </si>
  <si>
    <t>Artificial lighting control</t>
  </si>
  <si>
    <t>Occupancy control for indoor lighting</t>
  </si>
  <si>
    <t>Manual on/off switch</t>
  </si>
  <si>
    <t>Manual on/off switch + additional sweeping extinction signal</t>
  </si>
  <si>
    <t>Automatic detection (auto on / dimmed or auto off)</t>
  </si>
  <si>
    <t>Automatic detection (manual on / dimmed or auto off)</t>
  </si>
  <si>
    <t xml:space="preserve"> Average impacts derived from multiple simulations to produce BACS factors in EN15232. Note, the standard EN 15193-1: Energy performance requirements for lighting in buildings is more sophisticated than EN15232 but does not include the simplifed BACS factors energy saving assessment that makes the assessment of savings tractable. Having noted this, we believe EN15232 probably underestimates the savings potentials from lighting control.</t>
  </si>
  <si>
    <t>Medium when lighting is significant</t>
  </si>
  <si>
    <t>LIghting</t>
  </si>
  <si>
    <t>Lighting-1b</t>
  </si>
  <si>
    <t>Mood and time based control of lighting in buildings</t>
  </si>
  <si>
    <t>Manual on/off</t>
  </si>
  <si>
    <t>Programmed control</t>
  </si>
  <si>
    <t>Automated or mobile triggered detection</t>
  </si>
  <si>
    <t>Lighting-2</t>
  </si>
  <si>
    <t>Control artificial lighting power based on daylight levels</t>
  </si>
  <si>
    <t>Manual (central)</t>
  </si>
  <si>
    <t>Manual (per room / zone)</t>
  </si>
  <si>
    <t>Automatic switching</t>
  </si>
  <si>
    <t>Automatic dimming</t>
  </si>
  <si>
    <t>Scene-based light control (during time intervals, dynamic and
adapted lighting scenes are set, for example, in terms of
illuminance level, different correlated colour temperature (CCT)
and the possibility to change the light distribution within the space
according to e. g. design, human needs, visual tasks)</t>
  </si>
  <si>
    <t>Dynamic building envelope</t>
  </si>
  <si>
    <t>DE-1</t>
  </si>
  <si>
    <t>Window control</t>
  </si>
  <si>
    <t>Window solar shading control</t>
  </si>
  <si>
    <t>No sun shading or only manual operation</t>
  </si>
  <si>
    <t>Motorized operation with manual control</t>
  </si>
  <si>
    <t>Motorized operation with automatic control based on sensor data</t>
  </si>
  <si>
    <t>Combined light/blind/HVAC control</t>
  </si>
  <si>
    <t>Predictive blind control (e.g. based on weather forecast)</t>
  </si>
  <si>
    <t>Only applicable in case movable shades, screens or blinds are present</t>
  </si>
  <si>
    <t xml:space="preserve">Functionality level 4 has not yet been defined in EN15232-1-17 but has benefits in principle. Average impacts derived from multiple simulations to produce BACS factors in EN15232. </t>
  </si>
  <si>
    <t>High when cooling is significant and glazing areas high.</t>
  </si>
  <si>
    <t>DE-2</t>
  </si>
  <si>
    <t>Window open/closed control, combined with HVAC system</t>
  </si>
  <si>
    <t>Manual operation or only fixed windows</t>
  </si>
  <si>
    <t>Open/closed detection to shut down heating or cooling systems</t>
  </si>
  <si>
    <t>Level 1 + Automised mechanical window opening based on room sensor data</t>
  </si>
  <si>
    <t>Level 2 + Centralized coordination of operable windows, e.g. to control free natural night cooling</t>
  </si>
  <si>
    <t xml:space="preserve"> /</t>
  </si>
  <si>
    <t>Not standardised</t>
  </si>
  <si>
    <t>no standards available</t>
  </si>
  <si>
    <t>Low - no standards available</t>
  </si>
  <si>
    <t>DE-3</t>
  </si>
  <si>
    <t>Changing window spectral properties</t>
  </si>
  <si>
    <t>Individual window control</t>
  </si>
  <si>
    <t>Automized control</t>
  </si>
  <si>
    <t>Integrated control with other systems such as heating and lighting</t>
  </si>
  <si>
    <t>Only applicable in case windows with varying spectral properties are available</t>
  </si>
  <si>
    <t>Same order of magnitude as window solar shading control</t>
  </si>
  <si>
    <t>Electricity</t>
  </si>
  <si>
    <t>electricity-1</t>
  </si>
  <si>
    <t>DER - Generation Control</t>
  </si>
  <si>
    <t>Amount of on-site renewable energy generation</t>
  </si>
  <si>
    <t xml:space="preserve">Limited amount of PV or CHP production </t>
  </si>
  <si>
    <t>PV or CHP capacity able to cover average needs</t>
  </si>
  <si>
    <t>electricity-2</t>
  </si>
  <si>
    <t>Reporting information regarding energy generation</t>
  </si>
  <si>
    <t>Current generation data available</t>
  </si>
  <si>
    <t>Only applicable in case of local energy generation</t>
  </si>
  <si>
    <t>electricity-3</t>
  </si>
  <si>
    <t>DER - Storage</t>
  </si>
  <si>
    <t>Storage of locally generated energy</t>
  </si>
  <si>
    <t>Limited: small scale storage (batteries, TES,…)</t>
  </si>
  <si>
    <t>Storage which can supply self-consumption for &gt; 3 hours</t>
  </si>
  <si>
    <t>Dynamically operated storage which can also feed back into the grid.</t>
  </si>
  <si>
    <t>electricity-4</t>
  </si>
  <si>
    <t>DER- Optimization</t>
  </si>
  <si>
    <t>Optimizing self-consumption of locally generated energy</t>
  </si>
  <si>
    <t>short term optimization</t>
  </si>
  <si>
    <t>long term optimization including predicted generation and/or demand</t>
  </si>
  <si>
    <t>electricity-5</t>
  </si>
  <si>
    <t>CHP control</t>
  </si>
  <si>
    <t>Uncontrolled generation depending on the fluctuating availability of RES and or run time of CHP; overproduction will be fed into the grid</t>
  </si>
  <si>
    <t>Coordination of local RES and CHP with regard to local energy demand profile including energy storage management; Optimization of own consumption</t>
  </si>
  <si>
    <t>Only applicable in case of CHP</t>
  </si>
  <si>
    <t>The inspectability of the nature of the control algorithm would need to be facilitated for level 1. Service 7.3 in EN15232-1-17. Average impacts derived from multiple simulations to produce BACS factors in EN15232.</t>
  </si>
  <si>
    <t>electricity-6</t>
  </si>
  <si>
    <t>DSM- Storage</t>
  </si>
  <si>
    <t>Services for integration of renewables into the building energy portfolio</t>
  </si>
  <si>
    <t>local control</t>
  </si>
  <si>
    <t>local optimization based on pricing</t>
  </si>
  <si>
    <t>grid based optimization</t>
  </si>
  <si>
    <t>VPP integration</t>
  </si>
  <si>
    <t>electricity-7</t>
  </si>
  <si>
    <t>Services for integrating battery storage systems into energy portfolio</t>
  </si>
  <si>
    <t>electricity-8</t>
  </si>
  <si>
    <t>Support of microgrid operation modes</t>
  </si>
  <si>
    <t>local battery usage</t>
  </si>
  <si>
    <t>autonmous energy consumption control</t>
  </si>
  <si>
    <t>electricity-9</t>
  </si>
  <si>
    <t>Integration of smart appliances</t>
  </si>
  <si>
    <t>building based assets optimization</t>
  </si>
  <si>
    <t>price based optimization</t>
  </si>
  <si>
    <t>electricity-10</t>
  </si>
  <si>
    <t>DSM - Local Systems</t>
  </si>
  <si>
    <t>Flexible start and switch off of home appliances</t>
  </si>
  <si>
    <t>tarif based</t>
  </si>
  <si>
    <t>grid condition based</t>
  </si>
  <si>
    <t>Electric vehicle charging</t>
  </si>
  <si>
    <t>EV-1</t>
  </si>
  <si>
    <t>EV Charging - non Grid sensors</t>
  </si>
  <si>
    <t>Charging whenever needed at the charging pole of the building ("dumb charging service")</t>
  </si>
  <si>
    <t>dumb charging</t>
  </si>
  <si>
    <t>dumb charging for given time</t>
  </si>
  <si>
    <t>adaptive time charging</t>
  </si>
  <si>
    <t>EV-3</t>
  </si>
  <si>
    <t>EV Charging - Market</t>
  </si>
  <si>
    <t>Charging with local, building system based control (price signal based charging)</t>
  </si>
  <si>
    <t>dumb charging on single tariff</t>
  </si>
  <si>
    <t>adaptive tariffs structures with remote access</t>
  </si>
  <si>
    <t>EV-4</t>
  </si>
  <si>
    <t>Charging with aggregated control (EV responsible party as VPP balancing responsible party)</t>
  </si>
  <si>
    <t>local optimization</t>
  </si>
  <si>
    <t>local and grid optimization</t>
  </si>
  <si>
    <t>EV-5</t>
  </si>
  <si>
    <t>Charging with aggregated control (EV resposible party  under a balance responsible party)</t>
  </si>
  <si>
    <t>EV-7</t>
  </si>
  <si>
    <t>Grid connected heating for EV in winter time</t>
  </si>
  <si>
    <t>no grid sensor based charging</t>
  </si>
  <si>
    <t>grid-sensor based charging</t>
  </si>
  <si>
    <t>EV-8</t>
  </si>
  <si>
    <t>EV Charging - Grid</t>
  </si>
  <si>
    <t>Providing system services to DSO operations</t>
  </si>
  <si>
    <t>grid optimized operations</t>
  </si>
  <si>
    <t>grid and battery lifecycle optimized behaviour</t>
  </si>
  <si>
    <t>EV-9</t>
  </si>
  <si>
    <t>Charging for optimisation of the EV battery life-cycle</t>
  </si>
  <si>
    <t>car-lifecycle otpmization</t>
  </si>
  <si>
    <t>car and grid lifecycle optimization</t>
  </si>
  <si>
    <t>EV-10</t>
  </si>
  <si>
    <t>Charging at a commercial building site - roaming</t>
  </si>
  <si>
    <t>charging at non-home pole</t>
  </si>
  <si>
    <t>charging at public pole</t>
  </si>
  <si>
    <t>charging in different country and regulatory regime</t>
  </si>
  <si>
    <t>EV-11</t>
  </si>
  <si>
    <t xml:space="preserve">Charging based on DSO price tags - " local wind storage" </t>
  </si>
  <si>
    <t>storage</t>
  </si>
  <si>
    <t>storage and feed-in to grid</t>
  </si>
  <si>
    <t>EV-12</t>
  </si>
  <si>
    <t>EV Charging - Market and Occupant</t>
  </si>
  <si>
    <t>Providing the state-of-charge to home display</t>
  </si>
  <si>
    <t>simple webb app car to mobile</t>
  </si>
  <si>
    <t>integrating the information into BEMS</t>
  </si>
  <si>
    <t>EV-13</t>
  </si>
  <si>
    <t>Fast charging services - mode 4</t>
  </si>
  <si>
    <t>dumb</t>
  </si>
  <si>
    <t>EV-14</t>
  </si>
  <si>
    <t>Vehicle to grid operation and control</t>
  </si>
  <si>
    <t>exists</t>
  </si>
  <si>
    <t>EV-15</t>
  </si>
  <si>
    <t>EV Charging</t>
  </si>
  <si>
    <t>EV Charging Capacity</t>
  </si>
  <si>
    <t>Low charging capacity</t>
  </si>
  <si>
    <t>Medium charging capacity</t>
  </si>
  <si>
    <t>High charging capacity</t>
  </si>
  <si>
    <t>Only to be assessed if parking spots available on site</t>
  </si>
  <si>
    <t>This service is not yet defined in any standard but could be made actionable through fairly straightforward classification.</t>
  </si>
  <si>
    <t>EV-16</t>
  </si>
  <si>
    <t>EV Charging Grid balancing</t>
  </si>
  <si>
    <t>1 way (controlled charging)</t>
  </si>
  <si>
    <t>2 way (also EV to grid)</t>
  </si>
  <si>
    <t>Only to be assessed if EV charging available on site</t>
  </si>
  <si>
    <t>This service is not yet defined in any standard but could be made actionable through fairly straightforward classification. Inspection made need facilitation.</t>
  </si>
  <si>
    <t>EV-17</t>
  </si>
  <si>
    <t>EV Charging - connectivity</t>
  </si>
  <si>
    <t>EV charging information and connectivity</t>
  </si>
  <si>
    <t>No information available</t>
  </si>
  <si>
    <t>Reporting information on EV charging status to occupant</t>
  </si>
  <si>
    <t>Communication with a back-office compliant to ISO 15118</t>
  </si>
  <si>
    <t>Monitoring and control</t>
  </si>
  <si>
    <t>MC-1</t>
  </si>
  <si>
    <t>HVAC interaction control</t>
  </si>
  <si>
    <t>Heating and cooling set point management</t>
  </si>
  <si>
    <t>Manual setting room by room individually</t>
  </si>
  <si>
    <t>Adaptation from distributed / decentralized plant rooms only</t>
  </si>
  <si>
    <t xml:space="preserve">Adaptation from a central room </t>
  </si>
  <si>
    <t>Adaptation from a central room with frequent set back of user inputs</t>
  </si>
  <si>
    <t xml:space="preserve">The inspectability of the nature of the control algorithm would need to be facilitated for level 3. Average impacts derived from multiple simulations to produce BACS factors in EN15232. </t>
  </si>
  <si>
    <t>MC-2</t>
  </si>
  <si>
    <t>Control of thermal exchanges</t>
  </si>
  <si>
    <t>Management  of heat/cold exchange among zones within one building or among different buildings - present in parts of the building</t>
  </si>
  <si>
    <t>All occupied area has management of heat/cold exchange among zones within one building or among different buildings</t>
  </si>
  <si>
    <t>This service is not yet defined in any standard.</t>
  </si>
  <si>
    <t>Very low</t>
  </si>
  <si>
    <t>MC-3</t>
  </si>
  <si>
    <t>Run time management of HVAC systems</t>
  </si>
  <si>
    <t>Manual setting (plant enabling)</t>
  </si>
  <si>
    <t>Individual setting following a predefined time schedule including fixed preconditioning phases</t>
  </si>
  <si>
    <t>Individual setting following a predefined time schedule; adaptation from a central room; variable preconditioning phases</t>
  </si>
  <si>
    <t>Control of run time management by artificial intelligence</t>
  </si>
  <si>
    <t>EN 15232 + expanded  with level 3</t>
  </si>
  <si>
    <t xml:space="preserve">The inspectability of the nature of the control algorithm would need to be facilitated for levels 1 and 2. Service 7.2 in EN15232-1-17. Average impacts derived from multiple simulations to produce BACS factors in EN15232. </t>
  </si>
  <si>
    <t>MC-4</t>
  </si>
  <si>
    <t>Fault detection</t>
  </si>
  <si>
    <t>Detecting faults of technical building systems and providing support to the diagnosis of these faults</t>
  </si>
  <si>
    <t>No central indication of detected faults and alarms</t>
  </si>
  <si>
    <t>With central indication of detected faults and alarms</t>
  </si>
  <si>
    <t>With central indication of detected faults and alarms / diagnosing functions</t>
  </si>
  <si>
    <t xml:space="preserve">To be clarified: for which systems should this be present? The inspectability of the nature of the control algorithm would need to be facilitated for level 2. Service 7.3 in EN15232-1-17. Average impacts derived from multiple simulations to produce BACS factors in EN15232. </t>
  </si>
  <si>
    <t>MC-5</t>
  </si>
  <si>
    <t>Feedback - Reporting information</t>
  </si>
  <si>
    <t>Reporting information regarding current energy consumption</t>
  </si>
  <si>
    <t>Indication of actual values only (e.g. temperatures, meter values)</t>
  </si>
  <si>
    <t>Trending functions and consumption determination</t>
  </si>
  <si>
    <t>Analysing, performance evaluation, benchmarking</t>
  </si>
  <si>
    <t xml:space="preserve">Service 7.4 in EN15232-1-17. Average impacts derived from multiple simulations to produce BACS factors in EN15232. </t>
  </si>
  <si>
    <t>MC-6</t>
  </si>
  <si>
    <t>Reporting information regarding historical energy consumption</t>
  </si>
  <si>
    <t>MC-7</t>
  </si>
  <si>
    <t>Reporting information regarding predicted energy consumption</t>
  </si>
  <si>
    <t>MC-9</t>
  </si>
  <si>
    <t>TBS interaction control</t>
  </si>
  <si>
    <t>Occupancy detection: connected services</t>
  </si>
  <si>
    <t>For individual functions, e.g. lighting</t>
  </si>
  <si>
    <t>Centralised detection which feeds in to several TBS such as lighting and heating</t>
  </si>
  <si>
    <t>MC-10</t>
  </si>
  <si>
    <t>Occupancy detection: space and activity</t>
  </si>
  <si>
    <t>No occupancy detection present</t>
  </si>
  <si>
    <t>Occupancy detection can determine presence in room</t>
  </si>
  <si>
    <t>Occupancy detection can determine average number of people in space</t>
  </si>
  <si>
    <t>Occupancy detection can determine the actual number of people in a space</t>
  </si>
  <si>
    <t>Occupancy detection can determine position of people in space (e.g. behind desk)</t>
  </si>
  <si>
    <t>MC-11</t>
  </si>
  <si>
    <t>Central control of energy consumers</t>
  </si>
  <si>
    <t>Remote surveillance of building behaviour</t>
  </si>
  <si>
    <t>Remote control of main TBS</t>
  </si>
  <si>
    <t>Remote control of main TBS with centralised occupancy detection</t>
  </si>
  <si>
    <t>Remote control of main TBS with centralised occupancy detection, automatic non-occupancy default settings and user alerts</t>
  </si>
  <si>
    <t>MC-12</t>
  </si>
  <si>
    <t xml:space="preserve">Central off-switch for appliances at home </t>
  </si>
  <si>
    <t>simple off switch</t>
  </si>
  <si>
    <t>off switch with ability for remote operation</t>
  </si>
  <si>
    <t>secquence of deactivation for load optimisation</t>
  </si>
  <si>
    <t>MC-13</t>
  </si>
  <si>
    <t>Central reporting of TBS performance and energy use</t>
  </si>
  <si>
    <t>Real time indication of energy use per energy carrier</t>
  </si>
  <si>
    <t>Real time indication of sub-metererd energy use or other performance metrics for at least 2 domains</t>
  </si>
  <si>
    <t>Real time indication of sub-metererd energy use or other performance metrics for all main TBS</t>
  </si>
  <si>
    <t>MC-14</t>
  </si>
  <si>
    <t>DSM- Grid</t>
  </si>
  <si>
    <t>Power flows measurement and communications</t>
  </si>
  <si>
    <t>local use of sensor data</t>
  </si>
  <si>
    <t>use of sensor data in microgrid operations</t>
  </si>
  <si>
    <t>DSO based use of sensor data</t>
  </si>
  <si>
    <t>MC-15</t>
  </si>
  <si>
    <t>Energy delivery KPI tracking and calculation</t>
  </si>
  <si>
    <t>local optimisation</t>
  </si>
  <si>
    <t>MC-16</t>
  </si>
  <si>
    <t>Fault location and detection</t>
  </si>
  <si>
    <t>local based detection of errors</t>
  </si>
  <si>
    <t>DSO optimised operations</t>
  </si>
  <si>
    <t>MC-17</t>
  </si>
  <si>
    <t>Fault prevention and risk assessment</t>
  </si>
  <si>
    <t>MC-18</t>
  </si>
  <si>
    <t>Fraud detection and losses calculation</t>
  </si>
  <si>
    <t>MC-19</t>
  </si>
  <si>
    <t>Neighbourhood energy efficiency calculation</t>
  </si>
  <si>
    <t>data exchange for local swarm and optimization</t>
  </si>
  <si>
    <t>data exchange for local swarm and optimization for DSP vpp control</t>
  </si>
  <si>
    <t>MC-20</t>
  </si>
  <si>
    <t>Demand prediction</t>
  </si>
  <si>
    <t>adaptive load forecast</t>
  </si>
  <si>
    <t>MC-21</t>
  </si>
  <si>
    <t>Information exchange on renewables generation prediction</t>
  </si>
  <si>
    <t>MC-22</t>
  </si>
  <si>
    <t>Heat management for a multi-tenant house by aggregator</t>
  </si>
  <si>
    <t>occupant best-effort</t>
  </si>
  <si>
    <t>building  best-effort</t>
  </si>
  <si>
    <t>MC-23</t>
  </si>
  <si>
    <t>DSM control of a device by an aggregator</t>
  </si>
  <si>
    <t>microgrid operations (energy based)</t>
  </si>
  <si>
    <t>VPP operations (price based)</t>
  </si>
  <si>
    <t>MC-24</t>
  </si>
  <si>
    <t>Energy storage penetration prediction</t>
  </si>
  <si>
    <t>local forecast</t>
  </si>
  <si>
    <t>microgrid based forecast</t>
  </si>
  <si>
    <t>MC-25</t>
  </si>
  <si>
    <t>Smart Grid Integration</t>
  </si>
  <si>
    <t xml:space="preserve">None - No harmonization between grid and building energy systems; building is operated independently from the grid load </t>
  </si>
  <si>
    <t>Building energy systems are managed and operated depending on grid load; demand side management is used for load shifting</t>
  </si>
  <si>
    <t>EN15232</t>
  </si>
  <si>
    <t xml:space="preserve">The inspectability of the nature of the control algorithm would need to be facilitated for level 2. Service 7.5 in EN15232-1-17. Average impacts derived from multiple simulations to produce BACS factors in EN15232. </t>
  </si>
  <si>
    <t>Simulation</t>
  </si>
  <si>
    <t>MC-26</t>
  </si>
  <si>
    <t>Smart appliances or DHW subject to DSM control</t>
  </si>
  <si>
    <t>Heating or cooling subject to DSM control</t>
  </si>
  <si>
    <t>Heating and cooling subject to DSM control</t>
  </si>
  <si>
    <t>Smart appliances, DHW, heating and cooling subject to DSM control</t>
  </si>
  <si>
    <t>The inspectability of the nature of the control algorithm would need to be facilitated 
DSM of heating, cooling and DHW integrated in dedicated domains</t>
  </si>
  <si>
    <t>MC-27</t>
  </si>
  <si>
    <t>Connecting PV to DSO grid</t>
  </si>
  <si>
    <t>none</t>
  </si>
  <si>
    <t>simple feed-in</t>
  </si>
  <si>
    <t>CLS interface</t>
  </si>
  <si>
    <t>DSO controls</t>
  </si>
  <si>
    <t>MC-28</t>
  </si>
  <si>
    <t>Reporting information regarding DSM</t>
  </si>
  <si>
    <t>Reporting information on current DSM flows and controls</t>
  </si>
  <si>
    <t>Reporting information on current, historical and predicted DSM  flows and controls</t>
  </si>
  <si>
    <t>MC-29</t>
  </si>
  <si>
    <t>Override control</t>
  </si>
  <si>
    <t>Override of DSM control</t>
  </si>
  <si>
    <t>No DSM control</t>
  </si>
  <si>
    <t xml:space="preserve">DSM control without the possibility to override this control by the occupant </t>
  </si>
  <si>
    <t>Manual override and reactivation</t>
  </si>
  <si>
    <t>Scheduled override of DSM control and reactivation</t>
  </si>
  <si>
    <t>Scheduled override of DSM control and reactivation with artificial intelligence</t>
  </si>
  <si>
    <t>Various</t>
  </si>
  <si>
    <t>VA-1</t>
  </si>
  <si>
    <t>Coming home - leaving home functions</t>
  </si>
  <si>
    <t>mobile based</t>
  </si>
  <si>
    <t>RFID based</t>
  </si>
  <si>
    <t>VA-2</t>
  </si>
  <si>
    <t>Inactivity recognition services</t>
  </si>
  <si>
    <t>building based (movement activation)</t>
  </si>
  <si>
    <t>room based</t>
  </si>
  <si>
    <t>electricity sensor based (behaviour)</t>
  </si>
  <si>
    <t>VA-3</t>
  </si>
  <si>
    <t>Multi-tenant access control for buildings without keys</t>
  </si>
  <si>
    <t>VA-4</t>
  </si>
  <si>
    <t>Wellbeing and health</t>
  </si>
  <si>
    <t>Occupants Wellbeing and health status monitoring services</t>
  </si>
  <si>
    <t>Functionality levels to be defined</t>
  </si>
  <si>
    <t>VA-5</t>
  </si>
  <si>
    <t>Dementia monitoring</t>
  </si>
  <si>
    <t>Functionality levels to be defined, e.g. Appliance monitoring with alarms</t>
  </si>
  <si>
    <t>Functionality levels to be defined, e.g. Appliance and person monitoring</t>
  </si>
  <si>
    <t>VA-8</t>
  </si>
  <si>
    <t>Rain water Collection</t>
  </si>
  <si>
    <t>reducing sewage network prevent overflows</t>
  </si>
  <si>
    <t>Re-use to prevent waste fo freshwater resources</t>
  </si>
  <si>
    <t>VA-9</t>
  </si>
  <si>
    <t>Safety &amp; Alerts</t>
  </si>
  <si>
    <t>Smoke detection</t>
  </si>
  <si>
    <t>no smoke detection</t>
  </si>
  <si>
    <t>smoke detectors</t>
  </si>
  <si>
    <t>smoke detectors, cross-linked</t>
  </si>
  <si>
    <t>VA-10</t>
  </si>
  <si>
    <t>Water leakage detection</t>
  </si>
  <si>
    <t>no leakage detection</t>
  </si>
  <si>
    <t>leakage detection</t>
  </si>
  <si>
    <t>VA-11</t>
  </si>
  <si>
    <t>Carbon Monoxide detecion</t>
  </si>
  <si>
    <t>no CO detection</t>
  </si>
  <si>
    <t>CO detection</t>
  </si>
  <si>
    <t>CO detection, cross-linked to other TBS, e.g. warning signals through lighting</t>
  </si>
  <si>
    <t>VA-12</t>
  </si>
  <si>
    <t>Emergency notification services</t>
  </si>
  <si>
    <t>simple alarm</t>
  </si>
  <si>
    <t>alarm with remote notification</t>
  </si>
  <si>
    <t>VA-13</t>
  </si>
  <si>
    <t>Smart testing of emergency lighting</t>
  </si>
  <si>
    <t xml:space="preserve">No emergency lighting </t>
  </si>
  <si>
    <t>Emergency lighting with manual testing</t>
  </si>
  <si>
    <t>Emergency lighting with automatic testing</t>
  </si>
  <si>
    <t>Emergency lighting with automatic testing, connected to a centralised reporting system</t>
  </si>
  <si>
    <t>VA-14</t>
  </si>
  <si>
    <t>Intelligent alerting on building events</t>
  </si>
  <si>
    <t>basic technology</t>
  </si>
  <si>
    <t>Artificial Intelligence</t>
  </si>
  <si>
    <t>VA-18</t>
  </si>
  <si>
    <t>Cost allocation</t>
  </si>
  <si>
    <t>Energy Cost Allocation for heating, cooling and water</t>
  </si>
  <si>
    <t>no energy cost allocation</t>
  </si>
  <si>
    <t>heat cost allocators (HCA) / meters (M)</t>
  </si>
  <si>
    <t>HCA / M remote reading walk by</t>
  </si>
  <si>
    <t>HCA / M remote reading smartphone</t>
  </si>
  <si>
    <t>HCA / M remote reading continuous information</t>
  </si>
  <si>
    <t>VA-19</t>
  </si>
  <si>
    <t>Lifts and elevators</t>
  </si>
  <si>
    <t>Lift and elevator control and dispatching</t>
  </si>
  <si>
    <t>simple on demand</t>
  </si>
  <si>
    <t>grouping calls</t>
  </si>
  <si>
    <t>forecasting</t>
  </si>
  <si>
    <t>VA-20</t>
  </si>
  <si>
    <t>Lift and elevator monitoring and maintenance</t>
  </si>
  <si>
    <t>VA-21</t>
  </si>
  <si>
    <t>Lift and elevator energy revovery</t>
  </si>
  <si>
    <t>present</t>
  </si>
  <si>
    <t>energy recovery with capacitor or storage</t>
  </si>
  <si>
    <t>domain</t>
  </si>
  <si>
    <t>code</t>
  </si>
  <si>
    <t>service</t>
  </si>
  <si>
    <t>►</t>
  </si>
  <si>
    <t>Service group:</t>
  </si>
  <si>
    <t>line</t>
  </si>
  <si>
    <t>Functionality levels</t>
  </si>
  <si>
    <t>IMPACTS</t>
  </si>
  <si>
    <t>market uptake / TRL</t>
  </si>
  <si>
    <t>Inspection time [minutes]</t>
  </si>
  <si>
    <t>Preconditions / supporting technologies and services</t>
  </si>
  <si>
    <t>Energy savings on site</t>
  </si>
  <si>
    <t>Flexibility for the grid and storage</t>
  </si>
  <si>
    <t>Comfort</t>
  </si>
  <si>
    <t>Convenience</t>
  </si>
  <si>
    <t>maintenance &amp; fault prediction</t>
  </si>
  <si>
    <t>information to occupants</t>
  </si>
  <si>
    <t>residential</t>
  </si>
  <si>
    <t>non-residential</t>
  </si>
  <si>
    <t>level 0</t>
  </si>
  <si>
    <t>default</t>
  </si>
  <si>
    <t>-</t>
  </si>
  <si>
    <t>Y</t>
  </si>
  <si>
    <t>level 1</t>
  </si>
  <si>
    <t>+</t>
  </si>
  <si>
    <t>commom</t>
  </si>
  <si>
    <t>central control unit, e.g. thermostat</t>
  </si>
  <si>
    <t>level 2</t>
  </si>
  <si>
    <t>++</t>
  </si>
  <si>
    <t>thermostatic valves, electronic controller</t>
  </si>
  <si>
    <t>level 3</t>
  </si>
  <si>
    <t>+++</t>
  </si>
  <si>
    <t>rare</t>
  </si>
  <si>
    <t>room control units and communication</t>
  </si>
  <si>
    <t>level 4</t>
  </si>
  <si>
    <t>room control units, communication and occupancy sensors</t>
  </si>
  <si>
    <t>Information sources</t>
  </si>
  <si>
    <t xml:space="preserve"> </t>
  </si>
  <si>
    <t>Standard?</t>
  </si>
  <si>
    <t>outsidee air temperature sensor and supply water temperature sensor</t>
  </si>
  <si>
    <t>room temperature sensor, supply water valve, changeover heating-cooling, outside air temperature sensor</t>
  </si>
  <si>
    <t>availability of equipment, room temperature sensor, supply water valve, changeover heating-cooling, outside air temperature sensor</t>
  </si>
  <si>
    <t>common</t>
  </si>
  <si>
    <t>control unit, flow temperature measurement and outside temperature measurement</t>
  </si>
  <si>
    <t>control unit, flow sensor and communication</t>
  </si>
  <si>
    <t xml:space="preserve"> -</t>
  </si>
  <si>
    <t>pump</t>
  </si>
  <si>
    <t>pump with multi-stage, electric/electronic staging device</t>
  </si>
  <si>
    <t>variable speed drive</t>
  </si>
  <si>
    <t>control fixed time program</t>
  </si>
  <si>
    <t>time scheduler</t>
  </si>
  <si>
    <t>demand detection (e.g. occupancy sensor, manual occupancy switch)</t>
  </si>
  <si>
    <t>common in non-residential</t>
  </si>
  <si>
    <t xml:space="preserve">  </t>
  </si>
  <si>
    <t>outdoor temperature sensor, flow temperature sensor</t>
  </si>
  <si>
    <t>communication to distribution/heat consumer, flow sensor</t>
  </si>
  <si>
    <t>outdoor temperature sensor or communication to external outdoor temperature value</t>
  </si>
  <si>
    <t>communication/transmission of demand</t>
  </si>
  <si>
    <t>sequence coordination device with communication/connection to all heat generators</t>
  </si>
  <si>
    <t>generators with efficiency measurement/output, sequence coordination device with communication/connection to all heat generators</t>
  </si>
  <si>
    <t>external price signals (e.g. from smart meters)</t>
  </si>
  <si>
    <t>domestic hot water</t>
  </si>
  <si>
    <t>Control Equipment with real time clock</t>
  </si>
  <si>
    <t>Multiple sensor for DHW buffer temperature</t>
  </si>
  <si>
    <t>Either control equipment with real time clock, or multi sensing buffer</t>
  </si>
  <si>
    <t>Control equipment with real time clock, multi sensing buffer, communication/connection to heat generators for demand transmission</t>
  </si>
  <si>
    <t>Input for season switching condition: e.g. outdoor sensor, yearly time schedule</t>
  </si>
  <si>
    <t>Control equipment with real time clock and multi sensing buffer, Input for season switching condition, e.g. outdoor sensor, yearly time schedule</t>
  </si>
  <si>
    <t>Solar charging equipment (pump, panel sensors, return sensor)</t>
  </si>
  <si>
    <t>Solar charging equipment (pump, panel sensors, return sensor); Either control equipment with real time clock OR multi sensing buffer</t>
  </si>
  <si>
    <t>Solar charging equipment (pump, panel sensors, return sensor); Control equipment with real time clock and multi sensing buffer</t>
  </si>
  <si>
    <t>scheduling device for pump</t>
  </si>
  <si>
    <t>Demand detection (temperature sensor, electrical switch, flow sensor, pressure sensor)</t>
  </si>
  <si>
    <t>cooling</t>
  </si>
  <si>
    <t>central control unit</t>
  </si>
  <si>
    <t>thermostatic valves or electronic control units</t>
  </si>
  <si>
    <t>outside air temperature sensor, supply water temperature sensor</t>
  </si>
  <si>
    <t>room temperature sensor, supply water valve, changeover cooling – heating (if), outside air temperature sensor</t>
  </si>
  <si>
    <t>Room temperature sensor, supply water valve, changeover cooling – heating (if), outside air temperature sensor.</t>
  </si>
  <si>
    <t>control unit and temperature sensor and communication</t>
  </si>
  <si>
    <t>Equipment for multi speed (e.g. pump with multi stage, electrical/electronic staging equipment).</t>
  </si>
  <si>
    <t>fixed time program</t>
  </si>
  <si>
    <t>demand detection (e.g. occupancy sensor, manual occupancy switch etc).</t>
  </si>
  <si>
    <t>Communication/connection between heating control, cooling control and air temperature control</t>
  </si>
  <si>
    <t>Communication to Distribution/cooling consumer, Flow Sensor</t>
  </si>
  <si>
    <t>Sequence coordination device with communication/connection to all heat generators</t>
  </si>
  <si>
    <t>Generators with efficiency measurement/output, Sequence coordination device with communication/connection to all cooling generators</t>
  </si>
  <si>
    <t>Sequence coordination device with communication/connection to all cooling generators</t>
  </si>
  <si>
    <t>mechanical ventilation</t>
  </si>
  <si>
    <t>scheduling for the specific room / zone.</t>
  </si>
  <si>
    <t>Presence detection (e.g. occupancy sensor, manual occupancy switch
etc)</t>
  </si>
  <si>
    <t>IAQ sensors</t>
  </si>
  <si>
    <t>scheduling for the specific air handler</t>
  </si>
  <si>
    <t>Control equipment for multi-step control for the fan(s).</t>
  </si>
  <si>
    <t>Equipment for variable fan speed, pressure sensing equipment, demand communication/Connection to rooms/zones</t>
  </si>
  <si>
    <t>Temperature Sensor for Supply Air</t>
  </si>
  <si>
    <t>Room/zone temperature sensor</t>
  </si>
  <si>
    <t>Room/zone temperature sensor; Outside air sensor (or communication to outside air sensor)</t>
  </si>
  <si>
    <t>Room/zone temperature sensor; Flow/air quality control; Communication/connection to static heating/cooling</t>
  </si>
  <si>
    <t>Outside Temperature Sensor (or communication to outside Air sensor), Room/Zone Temperature Sensor</t>
  </si>
  <si>
    <t>Outside temperature sensor (or communication to outside air sensor); Room/zone temperature sensor</t>
  </si>
  <si>
    <t>Humidity Sensor; Humidifier/dehumidifier actuatorsRoom/zone temperature sensor</t>
  </si>
  <si>
    <t>lighting</t>
  </si>
  <si>
    <t>Manual switches; Sweep control device with Real time clock</t>
  </si>
  <si>
    <t>light/brightness, occupancy sensor, manual switch</t>
  </si>
  <si>
    <t>EN 15193-1 and CEN-TR 16791</t>
  </si>
  <si>
    <t>CEN-TR 16791</t>
  </si>
  <si>
    <t>EN 12464-1</t>
  </si>
  <si>
    <t>Manual switches</t>
  </si>
  <si>
    <t>Brightness sensor</t>
  </si>
  <si>
    <t>dynamic building envelope</t>
  </si>
  <si>
    <t>Switches to manually operate blinds; Motorized blinds</t>
  </si>
  <si>
    <t>Solar sensor; Communication to solar brightness sensor; Motorized blinds</t>
  </si>
  <si>
    <t>light sensor or communication to light sensor; Communication to room temperature control; Communication to lighting control</t>
  </si>
  <si>
    <t>Energy generation</t>
  </si>
  <si>
    <t>2</t>
  </si>
  <si>
    <t>Local energy generation information</t>
  </si>
  <si>
    <t>1</t>
  </si>
  <si>
    <t>3</t>
  </si>
  <si>
    <t>IEC 61850-7-420</t>
  </si>
  <si>
    <t>5</t>
  </si>
  <si>
    <t>--</t>
  </si>
  <si>
    <t>7</t>
  </si>
  <si>
    <t>0</t>
  </si>
  <si>
    <t>10</t>
  </si>
  <si>
    <t>20</t>
  </si>
  <si>
    <t>IEC PC 118</t>
  </si>
  <si>
    <t>IEC TC 57</t>
  </si>
  <si>
    <t>8</t>
  </si>
  <si>
    <t>EEBUS</t>
  </si>
  <si>
    <t>own judgment</t>
  </si>
  <si>
    <t>n/a</t>
  </si>
  <si>
    <t>IEC 15118</t>
  </si>
  <si>
    <t>4</t>
  </si>
  <si>
    <t>VARIOUS</t>
  </si>
  <si>
    <t>N/A</t>
  </si>
  <si>
    <t>level1</t>
  </si>
  <si>
    <t>level2</t>
  </si>
  <si>
    <t>Smart Readiness Indicator for Buildings</t>
  </si>
  <si>
    <t>building type</t>
  </si>
  <si>
    <t>large multi-family house</t>
  </si>
  <si>
    <t>small multi-family house</t>
  </si>
  <si>
    <t>single-family house</t>
  </si>
  <si>
    <t>office</t>
  </si>
  <si>
    <t>educational</t>
  </si>
  <si>
    <t>healthcare</t>
  </si>
  <si>
    <t>other</t>
  </si>
  <si>
    <t>EU countries</t>
  </si>
  <si>
    <t>Austria</t>
  </si>
  <si>
    <t>Belgium</t>
  </si>
  <si>
    <t>Bulgaria</t>
  </si>
  <si>
    <t>Croatia</t>
  </si>
  <si>
    <t>Cyprus</t>
  </si>
  <si>
    <t>Czech Republic</t>
  </si>
  <si>
    <t>Denmark</t>
  </si>
  <si>
    <t>Estonia</t>
  </si>
  <si>
    <t>Finland</t>
  </si>
  <si>
    <t>France</t>
  </si>
  <si>
    <t>Germany</t>
  </si>
  <si>
    <t>Greece</t>
  </si>
  <si>
    <t>Hungary</t>
  </si>
  <si>
    <t>Ireland</t>
  </si>
  <si>
    <t>Italy</t>
  </si>
  <si>
    <t>Latvia</t>
  </si>
  <si>
    <t>Lithuania</t>
  </si>
  <si>
    <t>Luxembourg</t>
  </si>
  <si>
    <t>Malta</t>
  </si>
  <si>
    <t>Netherlands</t>
  </si>
  <si>
    <t>Poland</t>
  </si>
  <si>
    <t>Portugal</t>
  </si>
  <si>
    <t>Romania </t>
  </si>
  <si>
    <t>Slovakia</t>
  </si>
  <si>
    <t>Slovenia</t>
  </si>
  <si>
    <t>Spain</t>
  </si>
  <si>
    <t>Sweden</t>
  </si>
  <si>
    <t>United Kingdom</t>
  </si>
  <si>
    <t>TRIAGE PROCESS</t>
  </si>
  <si>
    <t>West Europe</t>
  </si>
  <si>
    <t>South-East Europe</t>
  </si>
  <si>
    <t>South Europe</t>
  </si>
  <si>
    <t>North-East Europe</t>
  </si>
  <si>
    <t>North Europe</t>
  </si>
  <si>
    <t>North  Europe</t>
  </si>
  <si>
    <t>climate zone:</t>
  </si>
  <si>
    <t>Heating system</t>
  </si>
  <si>
    <t>Cooling system</t>
  </si>
  <si>
    <t>Domestic Hot Water</t>
  </si>
  <si>
    <t>triage</t>
  </si>
  <si>
    <t xml:space="preserve">present? </t>
  </si>
  <si>
    <t>Are the following technical building systems present in your building?</t>
  </si>
  <si>
    <r>
      <t xml:space="preserve">If not, are they mandatory for new constructions in your country of residence? </t>
    </r>
    <r>
      <rPr>
        <vertAlign val="superscript"/>
        <sz val="11"/>
        <color theme="1"/>
        <rFont val="Calibri"/>
        <family val="2"/>
        <scheme val="minor"/>
      </rPr>
      <t>(1)</t>
    </r>
  </si>
  <si>
    <t>Net floor area of the building</t>
  </si>
  <si>
    <t>Year of construction</t>
  </si>
  <si>
    <t>floor area</t>
  </si>
  <si>
    <t>1.000 - 10.000 m²</t>
  </si>
  <si>
    <t>500 - 1.000 m²</t>
  </si>
  <si>
    <t>10.000 - 25.000 m²</t>
  </si>
  <si>
    <t>&gt; 25.000 m²</t>
  </si>
  <si>
    <t>age</t>
  </si>
  <si>
    <t>&lt; 1960</t>
  </si>
  <si>
    <t>1960 - 1990</t>
  </si>
  <si>
    <t>&gt; 2010</t>
  </si>
  <si>
    <t>renovated</t>
  </si>
  <si>
    <t>HEATING</t>
  </si>
  <si>
    <t>emission type</t>
  </si>
  <si>
    <t>TABS (Thermally Activated Building System)</t>
  </si>
  <si>
    <t>Other hydronic system (e.g. radiators)</t>
  </si>
  <si>
    <t>Non-hydronic system (e.g. all-air)</t>
  </si>
  <si>
    <t>production type</t>
  </si>
  <si>
    <t>Heat Pump</t>
  </si>
  <si>
    <t>Emission type</t>
  </si>
  <si>
    <t>Production type</t>
  </si>
  <si>
    <t>storage present?</t>
  </si>
  <si>
    <t>Storage present</t>
  </si>
  <si>
    <t>No storage present</t>
  </si>
  <si>
    <t>District heating</t>
  </si>
  <si>
    <t>Decentral heating (e.g. stoves)</t>
  </si>
  <si>
    <t>Central heating - combustion</t>
  </si>
  <si>
    <t>Central heating - other</t>
  </si>
  <si>
    <t>multiple heat gen?</t>
  </si>
  <si>
    <t>Yes</t>
  </si>
  <si>
    <t>No</t>
  </si>
  <si>
    <t>EV</t>
  </si>
  <si>
    <t>SR fields</t>
  </si>
  <si>
    <t>Impact weightings by domain</t>
  </si>
  <si>
    <t>SRI impact scores by domain</t>
  </si>
  <si>
    <t>SRI impact scores by domain after impact weightings also applied</t>
  </si>
  <si>
    <t>MAXIMUM POSSIBLE ORDINAL IMPACT SCORES</t>
  </si>
  <si>
    <t>Maximum possible SRI impact scores by domain</t>
  </si>
  <si>
    <t>Maximum possible SRI impact scores by domain after impact weightings also applied</t>
  </si>
  <si>
    <t>Normalised SRI impact scores by domain after impact weightings also applied</t>
  </si>
  <si>
    <t>Service</t>
  </si>
  <si>
    <t>Max possible functionality level</t>
  </si>
  <si>
    <t>Max functionality level in this building</t>
  </si>
  <si>
    <t>tab</t>
  </si>
  <si>
    <t>line NR</t>
  </si>
  <si>
    <t>Total</t>
  </si>
  <si>
    <t>SRI score</t>
  </si>
  <si>
    <t>Totals</t>
  </si>
  <si>
    <t>building type --&gt;</t>
  </si>
  <si>
    <t>dhw</t>
  </si>
  <si>
    <t>Mechanical ventilation</t>
  </si>
  <si>
    <t>ventilation</t>
  </si>
  <si>
    <t>DE</t>
  </si>
  <si>
    <t>MC</t>
  </si>
  <si>
    <t>OPTIONAL ASSESSORS COMMENTS</t>
  </si>
  <si>
    <t>electricity</t>
  </si>
  <si>
    <t>Electric Vehicle Charging</t>
  </si>
  <si>
    <t>Electricity: renewables &amp; storage</t>
  </si>
  <si>
    <t>Dynamic Envelope:  automated windows &amp; blinds</t>
  </si>
  <si>
    <t>DOMESTIC HOT WATER</t>
  </si>
  <si>
    <t>DHW</t>
  </si>
  <si>
    <t>Non-electric</t>
  </si>
  <si>
    <t xml:space="preserve">Solar </t>
  </si>
  <si>
    <t>COOLING</t>
  </si>
  <si>
    <t>CONTROLLED VENTILATION</t>
  </si>
  <si>
    <t>System type</t>
  </si>
  <si>
    <t>VENTILATION</t>
  </si>
  <si>
    <t>system type</t>
  </si>
  <si>
    <t>All-air</t>
  </si>
  <si>
    <t>Combined air-water</t>
  </si>
  <si>
    <t>Controlled natural ventilation</t>
  </si>
  <si>
    <t>Heat recovery? (mechanical only)</t>
  </si>
  <si>
    <t>subtype</t>
  </si>
  <si>
    <t>Space heating</t>
  </si>
  <si>
    <t>DYNAMIC ENVELOPE</t>
  </si>
  <si>
    <t>shades?</t>
  </si>
  <si>
    <t>ELECTRICITY: renewables &amp; storage</t>
  </si>
  <si>
    <t>ELECTRICITY</t>
  </si>
  <si>
    <t>Local energy gen</t>
  </si>
  <si>
    <t>CHP</t>
  </si>
  <si>
    <t>ELECTRIC VEHICLE CHARGING</t>
  </si>
  <si>
    <t>on-site parking</t>
  </si>
  <si>
    <t>weightings</t>
  </si>
  <si>
    <t>Default</t>
  </si>
  <si>
    <t>User-defined</t>
  </si>
  <si>
    <t>DEFAULT</t>
  </si>
  <si>
    <t>Monitoring &amp; Control</t>
  </si>
  <si>
    <t>Dynamic Envelope</t>
  </si>
  <si>
    <t>USER DEFINED</t>
  </si>
  <si>
    <t>IMPACT WEIGHTINGS</t>
  </si>
  <si>
    <t>DOMAIN WEIGHTINGS</t>
  </si>
  <si>
    <t>user-defined</t>
  </si>
  <si>
    <t>northern europe</t>
  </si>
  <si>
    <t>western europe</t>
  </si>
  <si>
    <t>southern europe</t>
  </si>
  <si>
    <t>north-eastern europe</t>
  </si>
  <si>
    <t>south-eastern europe</t>
  </si>
  <si>
    <t>Ventilation</t>
  </si>
  <si>
    <t>North</t>
  </si>
  <si>
    <t>West</t>
  </si>
  <si>
    <t>South</t>
  </si>
  <si>
    <t>North-East</t>
  </si>
  <si>
    <t>South-East</t>
  </si>
  <si>
    <t>RESIDENTIAL</t>
  </si>
  <si>
    <t>NON RESIDENTIAL</t>
  </si>
  <si>
    <t>ENERGY BALANCE DATA</t>
  </si>
  <si>
    <t>Weightings</t>
  </si>
  <si>
    <t>rows to add to find the right weighting</t>
  </si>
  <si>
    <t>column to find right weighting factor</t>
  </si>
  <si>
    <t>Domain present or absent but mandatory?</t>
  </si>
  <si>
    <t>Always to be assesed or triage?</t>
  </si>
  <si>
    <t>always</t>
  </si>
  <si>
    <t>Service to be assessed?</t>
  </si>
  <si>
    <t>TRIAGE CHECKS</t>
  </si>
  <si>
    <t>Included in max. score?</t>
  </si>
  <si>
    <t>* Building Information</t>
  </si>
  <si>
    <t>* Calculation Sheet</t>
  </si>
  <si>
    <t>* Weightings</t>
  </si>
  <si>
    <r>
      <rPr>
        <vertAlign val="superscript"/>
        <sz val="11"/>
        <color theme="1"/>
        <rFont val="Calibri"/>
        <family val="2"/>
        <scheme val="minor"/>
      </rPr>
      <t>(1)</t>
    </r>
    <r>
      <rPr>
        <sz val="11"/>
        <color theme="1"/>
        <rFont val="Calibri"/>
        <family val="2"/>
        <scheme val="minor"/>
      </rPr>
      <t xml:space="preserve"> This selection will be automated in the final version, option should not be available for assessors</t>
    </r>
  </si>
  <si>
    <t>Functionality level 0 
(as non-smart default)</t>
  </si>
  <si>
    <t>Yes, mandatory</t>
  </si>
  <si>
    <t>No, not mandatory</t>
  </si>
  <si>
    <t>Solar collector present</t>
  </si>
  <si>
    <t>No solar collector present</t>
  </si>
  <si>
    <t>Multiple generators</t>
  </si>
  <si>
    <t>Single generator</t>
  </si>
  <si>
    <t>Heat recovery</t>
  </si>
  <si>
    <t>No heat recovery</t>
  </si>
  <si>
    <t>Used for space heating</t>
  </si>
  <si>
    <t>Not used for space heating</t>
  </si>
  <si>
    <t>On-site parking</t>
  </si>
  <si>
    <t>No on-site parking</t>
  </si>
  <si>
    <t>No EV charging</t>
  </si>
  <si>
    <t>Renovated</t>
  </si>
  <si>
    <t>Original</t>
  </si>
  <si>
    <t>ASSESSOR INFORMATION</t>
  </si>
  <si>
    <t>Name</t>
  </si>
  <si>
    <t>Organisation</t>
  </si>
  <si>
    <t>Contact information</t>
  </si>
  <si>
    <t>e-mail address</t>
  </si>
  <si>
    <t>telephone number (optional)</t>
  </si>
  <si>
    <t>GENERAL BUILDING INFORMATION</t>
  </si>
  <si>
    <t>Instructions</t>
  </si>
  <si>
    <r>
      <t>All other fields:</t>
    </r>
    <r>
      <rPr>
        <sz val="11"/>
        <color theme="1"/>
        <rFont val="Calibri"/>
        <family val="2"/>
        <scheme val="minor"/>
      </rPr>
      <t xml:space="preserve"> all other fields are filled automatically and cannot be edited</t>
    </r>
  </si>
  <si>
    <t>Address:</t>
  </si>
  <si>
    <t>non_residential</t>
  </si>
  <si>
    <t>Error message</t>
  </si>
  <si>
    <t>please enter a valid functionality level</t>
  </si>
  <si>
    <t>Warnings</t>
  </si>
  <si>
    <t>TOTAL SRI SCORE</t>
  </si>
  <si>
    <t>IMPACT SCORES</t>
  </si>
  <si>
    <t>Maintenance &amp; fault prediction</t>
  </si>
  <si>
    <t>DOMAIN SCORES</t>
  </si>
  <si>
    <t>share (default = 100% means applicable throughout the building)</t>
  </si>
  <si>
    <t>Optional: additional functionality level in part of the building</t>
  </si>
  <si>
    <t>Share of additional functionality level</t>
  </si>
  <si>
    <t>ORDINAL IMPACT SCORES - main functionality</t>
  </si>
  <si>
    <t>ORDINAL IMPACT SCORES - additional functionality</t>
  </si>
  <si>
    <t>Resulting main functionality level for this building</t>
  </si>
  <si>
    <t>Resulting additional functionality level for this building</t>
  </si>
  <si>
    <t>SRI impact scores by domain - additional functionality</t>
  </si>
  <si>
    <t xml:space="preserve">Main functionality level as inspected by SRI assessor </t>
  </si>
  <si>
    <t>ESTIMATED ASSESSMENT TIME (minutes)</t>
  </si>
  <si>
    <t>Other</t>
  </si>
  <si>
    <t>Building type</t>
  </si>
  <si>
    <t>Building usage</t>
  </si>
  <si>
    <t>Location</t>
  </si>
  <si>
    <t>Preferred weightings</t>
  </si>
  <si>
    <t xml:space="preserve">Thermal energy storage </t>
  </si>
  <si>
    <t xml:space="preserve">Multiple heat generators </t>
  </si>
  <si>
    <t>Solar collector</t>
  </si>
  <si>
    <t>System sub-type</t>
  </si>
  <si>
    <t>Movable shades, screens or blinds</t>
  </si>
  <si>
    <t>Present</t>
  </si>
  <si>
    <t>CHP (Combined Heat and Power)</t>
  </si>
  <si>
    <t>No CHP</t>
  </si>
  <si>
    <t>Storage?</t>
  </si>
  <si>
    <t>On-site renewable electricity generation</t>
  </si>
  <si>
    <t>No on-site renewable electricity generation</t>
  </si>
  <si>
    <t xml:space="preserve">Storage of on-site generated renewable electricity </t>
  </si>
  <si>
    <t>On-site parking spots</t>
  </si>
  <si>
    <t xml:space="preserve">Electric vehicle charging spots </t>
  </si>
  <si>
    <t>* Results</t>
  </si>
  <si>
    <r>
      <t xml:space="preserve">Informative: </t>
    </r>
    <r>
      <rPr>
        <sz val="11"/>
        <color theme="1"/>
        <rFont val="Calibri"/>
        <family val="2"/>
        <scheme val="minor"/>
      </rPr>
      <t>this sheet presents the calculation results</t>
    </r>
  </si>
  <si>
    <r>
      <rPr>
        <b/>
        <sz val="11"/>
        <color rgb="FF000000"/>
        <rFont val="Calibri"/>
        <family val="2"/>
      </rPr>
      <t>Mandatory:</t>
    </r>
    <r>
      <rPr>
        <sz val="11"/>
        <color theme="1"/>
        <rFont val="Calibri"/>
        <family val="2"/>
        <scheme val="minor"/>
      </rPr>
      <t xml:space="preserve"> Use this sheet to provide general information on the building and its technical building systems. </t>
    </r>
  </si>
  <si>
    <r>
      <rPr>
        <b/>
        <sz val="11"/>
        <color rgb="FF000000"/>
        <rFont val="Calibri"/>
        <family val="2"/>
      </rPr>
      <t>Mandatory:</t>
    </r>
    <r>
      <rPr>
        <sz val="11"/>
        <color theme="1"/>
        <rFont val="Calibri"/>
        <family val="2"/>
        <scheme val="minor"/>
      </rPr>
      <t xml:space="preserve"> Use this sheet to indicate the functionality level for each service</t>
    </r>
  </si>
  <si>
    <r>
      <rPr>
        <b/>
        <sz val="11"/>
        <color rgb="FF000000"/>
        <rFont val="Calibri"/>
        <family val="2"/>
      </rPr>
      <t>Informative:</t>
    </r>
    <r>
      <rPr>
        <sz val="11"/>
        <color theme="1"/>
        <rFont val="Calibri"/>
        <family val="2"/>
        <scheme val="minor"/>
      </rPr>
      <t xml:space="preserve"> Only change this sheet if you wish to provide user-defined weighting factors</t>
    </r>
  </si>
  <si>
    <r>
      <rPr>
        <b/>
        <sz val="11"/>
        <color rgb="FF000000"/>
        <rFont val="Calibri"/>
        <family val="2"/>
      </rPr>
      <t>Informative:</t>
    </r>
    <r>
      <rPr>
        <sz val="11"/>
        <color theme="1"/>
        <rFont val="Calibri"/>
        <family val="2"/>
        <scheme val="minor"/>
      </rPr>
      <t xml:space="preserve"> This is list with all smart ready services and their functionality levels. Column L indicates whether the services are part of the proposed streamlined set</t>
    </r>
  </si>
  <si>
    <r>
      <rPr>
        <b/>
        <sz val="11"/>
        <color rgb="FF000000"/>
        <rFont val="Calibri"/>
        <family val="2"/>
      </rPr>
      <t>Informative:</t>
    </r>
    <r>
      <rPr>
        <sz val="11"/>
        <color theme="1"/>
        <rFont val="Calibri"/>
        <family val="2"/>
        <scheme val="minor"/>
      </rPr>
      <t xml:space="preserve"> These tabs provide further details on the various services, including the provisional impact scores for each of the service levels </t>
    </r>
  </si>
  <si>
    <r>
      <rPr>
        <b/>
        <sz val="11"/>
        <color rgb="FF000000"/>
        <rFont val="Calibri"/>
        <family val="2"/>
      </rPr>
      <t>Input fields</t>
    </r>
    <r>
      <rPr>
        <sz val="11"/>
        <color theme="1"/>
        <rFont val="Calibri"/>
        <family val="2"/>
        <scheme val="minor"/>
      </rPr>
      <t>: use these yellow input fields to provide the requested information</t>
    </r>
  </si>
  <si>
    <t>1990 - 2010</t>
  </si>
  <si>
    <t xml:space="preserve">Please provide a brief description of the building </t>
  </si>
  <si>
    <t>Iceland</t>
  </si>
  <si>
    <t>Norway</t>
  </si>
  <si>
    <t>Switzerland</t>
  </si>
  <si>
    <t>Liechtenstein</t>
  </si>
  <si>
    <t>non EU</t>
  </si>
  <si>
    <t>please use user defined weightings!</t>
  </si>
  <si>
    <t>Electric (direct or integrated heat pump)</t>
  </si>
  <si>
    <t>EV charging</t>
  </si>
  <si>
    <t>yes</t>
  </si>
  <si>
    <t>not yet constructed</t>
  </si>
  <si>
    <t>&lt;200 m²</t>
  </si>
  <si>
    <t>200 - 500 m²</t>
  </si>
  <si>
    <t>Individual room control with communication between controllers and to BACS (e.g. scheduler, room temperature setpoint)</t>
  </si>
  <si>
    <t>Always to be assessed, except if TABS is present.</t>
  </si>
  <si>
    <t>Control according to fixed priority list: e.g. heat pump prior to hot water boiler</t>
  </si>
  <si>
    <t>Control according to dynamic priority list (based on current efficiency and capacity of generators, e.g. solar, geothermal heat, cogeneration plant, fossil fuels)</t>
  </si>
  <si>
    <t>Control according to dynamic priority list (based on current AND predicted load, efficiency and capacity of generators)</t>
  </si>
  <si>
    <t>Control according to dynamic priority list (based on current AND predicted load, efficiency, capacity of generators AND external signals from grid)</t>
  </si>
  <si>
    <t>Report information regarding heating system performance</t>
  </si>
  <si>
    <t>EN 15233</t>
  </si>
  <si>
    <t>Heat generator control (all except heat pumps)</t>
  </si>
  <si>
    <t>not present</t>
  </si>
  <si>
    <t>ducting (or simple power plug) available</t>
  </si>
  <si>
    <t>0-9% of parking spaces has recharging points</t>
  </si>
  <si>
    <t>10-50% or parking spaces has recharging point</t>
  </si>
  <si>
    <t>&gt;50% of parking spaces has recharging point</t>
  </si>
  <si>
    <t>DE-4</t>
  </si>
  <si>
    <t>Reporting information regarding performance</t>
  </si>
  <si>
    <t>No reporting</t>
  </si>
  <si>
    <t>Position of each product &amp; fault detection</t>
  </si>
  <si>
    <t>Position of each product, fault detection &amp; predictive maintenance</t>
  </si>
  <si>
    <t>Position of each product, fault detection, predictive maintenance, real-time sensor data (wind, lux, temperature…)</t>
  </si>
  <si>
    <t>Position of each product, fault detection, predictive maintenance, real-time &amp; historical sensor data (wind, lux, temperature…)</t>
  </si>
  <si>
    <t>No ventilation system or manual control</t>
  </si>
  <si>
    <t>Clock control</t>
  </si>
  <si>
    <t>Central Demand Control based on air quality sensors (CO2, VOC,...)</t>
  </si>
  <si>
    <t>Local Demand Control based on air quality sensors (CO2, VOC,...) with local flow from/to the zone regulated by dampers</t>
  </si>
  <si>
    <t>Air quality sensors (e.g. CO2) and real time autonomous monitoring</t>
  </si>
  <si>
    <t>Real time monitoring &amp; historical information of IAQ available to occupants</t>
  </si>
  <si>
    <t>Real time monitoring &amp; historical information of IAQ available to occupants + fault/maintenance detection based on internal sensors</t>
  </si>
  <si>
    <t>Real time monitoring, historical &amp; predictive information of IAQ (incl. external data e.g. outside temperature, ambient air…) available to occupants + fault/maintenance detection based on internal sensors and historical data</t>
  </si>
  <si>
    <t>Real time monitoring, historical &amp; predictive information of IAQ (incl. external data eg outside temperature, ambient air…) available to occupants + fault/maintenance detection based on internal sensors and historical data</t>
  </si>
  <si>
    <t>Current state of charge (SOC) data available</t>
  </si>
  <si>
    <t>electricity-11</t>
  </si>
  <si>
    <t>Reporting information regarding energy storage</t>
  </si>
  <si>
    <t>Reporting information regarding stored electricity</t>
  </si>
  <si>
    <t>Only applicable in case of local energy storage</t>
  </si>
  <si>
    <t>Fixed sequencing based on loads only: e.g. depending on the generators characteristics such as absorption chiller vs. centrifugal chiller</t>
  </si>
  <si>
    <t>Priorities based on generator efficiency and characteristics: the generator operational control is set individually to available generators so that they operate with an overall high degree efficiency</t>
  </si>
  <si>
    <t>Load prediction based sequencing: the sequence is based on e.g. COP and available power of a device and the predicted required power</t>
  </si>
  <si>
    <t>List of abbreviations</t>
  </si>
  <si>
    <t>Heat generator control (all except heat pump)</t>
  </si>
  <si>
    <t>BACS</t>
  </si>
  <si>
    <t>Building Automation and Control System</t>
  </si>
  <si>
    <t>IAQ</t>
  </si>
  <si>
    <t>Indoor Air Quality</t>
  </si>
  <si>
    <t>Electric Vehicle</t>
  </si>
  <si>
    <t>TES</t>
  </si>
  <si>
    <t>Thermal Energy Storage</t>
  </si>
  <si>
    <t>State Of Charge</t>
  </si>
  <si>
    <t>SOC</t>
  </si>
  <si>
    <t xml:space="preserve">TBS </t>
  </si>
  <si>
    <t>Technical Building System</t>
  </si>
  <si>
    <t>VOC</t>
  </si>
  <si>
    <t>Volatile Organic Compounds</t>
  </si>
  <si>
    <t>HW</t>
  </si>
  <si>
    <t>Hot Water</t>
  </si>
  <si>
    <t>CW</t>
  </si>
  <si>
    <t>Cold Water</t>
  </si>
  <si>
    <t>DR</t>
  </si>
  <si>
    <t>Demand Response</t>
  </si>
  <si>
    <t>DSM</t>
  </si>
  <si>
    <t>Demand Side Management</t>
  </si>
  <si>
    <t>TABS</t>
  </si>
  <si>
    <t>Thermally Activated Building Systems</t>
  </si>
  <si>
    <t>Combined Heat and Power</t>
  </si>
  <si>
    <t>RES</t>
  </si>
  <si>
    <t>Renewable Energy Source</t>
  </si>
  <si>
    <t>Building state</t>
  </si>
  <si>
    <t>NOTE: some cells are set to zero and cannot be changed. This means that for these domains, the services have no impact on the given impact criterion.</t>
  </si>
  <si>
    <t xml:space="preserve">=&gt; no weight should be attributed. </t>
  </si>
  <si>
    <t>ORDINAL SCORES</t>
  </si>
  <si>
    <t>LEGEND</t>
  </si>
  <si>
    <t>the services within this domain have no contribution to the given impact criterion</t>
  </si>
  <si>
    <t>at least one service within this domain contributes to the given impact criterion</t>
  </si>
  <si>
    <t>FEEDBACK FORM</t>
  </si>
  <si>
    <t>GENERAL</t>
  </si>
  <si>
    <t>WEIGHTING FACTORS</t>
  </si>
  <si>
    <t>energy</t>
  </si>
  <si>
    <t>flex</t>
  </si>
  <si>
    <t>comf</t>
  </si>
  <si>
    <t>conv</t>
  </si>
  <si>
    <t>health</t>
  </si>
  <si>
    <t>maint</t>
  </si>
  <si>
    <t>info</t>
  </si>
  <si>
    <t>Total SRI score</t>
  </si>
  <si>
    <t>Below, please provide feedback, specifically for this building. 
Please use the general feedback survey to provide more general feedback on the methodology.</t>
  </si>
  <si>
    <t>Is the SRI score in line with initial expectations by the assessor or building owner/user?</t>
  </si>
  <si>
    <t xml:space="preserve">Did you do an onsite walkthrough of the building? </t>
  </si>
  <si>
    <t>How much time did the assessment process take you (excluding travel, administration, intake discussions)?</t>
  </si>
  <si>
    <t>Which information was missing to complete the assessment?</t>
  </si>
  <si>
    <t>Are there smart services relevant for this building which are currently not part of the draft SRI methodology?</t>
  </si>
  <si>
    <t>Were any relevant functionality levels missing for this particular building:</t>
  </si>
  <si>
    <t>Do you have any indications on the interoperability or cybersecurity of the technical building systems?</t>
  </si>
  <si>
    <t>For this particular building, you you have any other comments:</t>
  </si>
  <si>
    <t>ASSESSMENT --&gt;</t>
  </si>
  <si>
    <t>ASSESSMENT</t>
  </si>
  <si>
    <t>main FL</t>
  </si>
  <si>
    <t>main share</t>
  </si>
  <si>
    <t>2nd FL</t>
  </si>
  <si>
    <t>2nd share</t>
  </si>
  <si>
    <t>HEAT</t>
  </si>
  <si>
    <t>VENT</t>
  </si>
  <si>
    <t>COOL</t>
  </si>
  <si>
    <t>LIGHT</t>
  </si>
  <si>
    <t>EL</t>
  </si>
  <si>
    <r>
      <t>This spreadsheet is distributed to stakeholders of the Smart Readiness Indicator</t>
    </r>
    <r>
      <rPr>
        <b/>
        <sz val="11"/>
        <rFont val="Calibri"/>
        <family val="2"/>
        <scheme val="minor"/>
      </rPr>
      <t xml:space="preserve">
For more information, visit www.smartreadinessindicator.eu/testing-sri</t>
    </r>
  </si>
  <si>
    <t>* Feedback</t>
  </si>
  <si>
    <r>
      <rPr>
        <b/>
        <sz val="11"/>
        <color theme="1"/>
        <rFont val="Calibri"/>
        <family val="2"/>
        <scheme val="minor"/>
      </rPr>
      <t xml:space="preserve">Mandatory: </t>
    </r>
    <r>
      <rPr>
        <sz val="11"/>
        <color theme="1"/>
        <rFont val="Calibri"/>
        <family val="2"/>
        <scheme val="minor"/>
      </rPr>
      <t>please use this tab to provide us with your feedback on the assessment</t>
    </r>
  </si>
  <si>
    <t xml:space="preserve">Please note that the presentation of results does not reflect the final intended presentation/format of the SRI, but is merely provided for testing purposes. </t>
  </si>
  <si>
    <t xml:space="preserve">Research on the proper format is ongoing. </t>
  </si>
  <si>
    <t>Risto Kosonen</t>
  </si>
  <si>
    <t>Aalto 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</si>
</sst>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40" x14ac:knownFonts="1">
    <font>
      <sz val="11"/>
      <color theme="1"/>
      <name val="Calibri"/>
      <family val="2"/>
      <scheme val="minor"/>
    </font>
    <font>
      <b/>
      <sz val="12"/>
      <color theme="1"/>
      <name val="Calibri"/>
      <family val="2"/>
      <scheme val="minor"/>
    </font>
    <font>
      <b/>
      <sz val="11"/>
      <color theme="1"/>
      <name val="Calibri"/>
      <family val="2"/>
      <scheme val="minor"/>
    </font>
    <font>
      <b/>
      <sz val="12"/>
      <color rgb="FF000000"/>
      <name val="Calibri"/>
      <family val="2"/>
    </font>
    <font>
      <b/>
      <sz val="11"/>
      <color theme="3"/>
      <name val="Calibri"/>
      <family val="2"/>
      <scheme val="minor"/>
    </font>
    <font>
      <b/>
      <sz val="12"/>
      <color theme="3"/>
      <name val="Calibri"/>
      <family val="2"/>
      <scheme val="minor"/>
    </font>
    <font>
      <sz val="12"/>
      <color theme="1"/>
      <name val="Calibri"/>
      <family val="2"/>
      <scheme val="minor"/>
    </font>
    <font>
      <b/>
      <sz val="16"/>
      <color theme="1"/>
      <name val="Calibri"/>
      <family val="2"/>
      <scheme val="minor"/>
    </font>
    <font>
      <b/>
      <sz val="16"/>
      <color rgb="FF0070C0"/>
      <name val="Calibri"/>
      <family val="2"/>
      <scheme val="minor"/>
    </font>
    <font>
      <b/>
      <sz val="16"/>
      <color rgb="FF000000"/>
      <name val="Calibri"/>
      <family val="2"/>
    </font>
    <font>
      <sz val="16"/>
      <color theme="1"/>
      <name val="Calibri"/>
      <family val="2"/>
      <scheme val="minor"/>
    </font>
    <font>
      <sz val="22"/>
      <color theme="0"/>
      <name val="Calibri"/>
      <family val="2"/>
      <scheme val="minor"/>
    </font>
    <font>
      <sz val="11"/>
      <color rgb="FF9C0006"/>
      <name val="Calibri"/>
      <family val="2"/>
      <scheme val="minor"/>
    </font>
    <font>
      <sz val="11"/>
      <color rgb="FFFF0000"/>
      <name val="Calibri"/>
      <family val="2"/>
      <scheme val="minor"/>
    </font>
    <font>
      <sz val="9"/>
      <color theme="1"/>
      <name val="Calibri"/>
      <family val="2"/>
      <scheme val="minor"/>
    </font>
    <font>
      <i/>
      <sz val="11"/>
      <color theme="1"/>
      <name val="Calibri"/>
      <family val="2"/>
      <scheme val="minor"/>
    </font>
    <font>
      <vertAlign val="superscript"/>
      <sz val="11"/>
      <color theme="1"/>
      <name val="Calibri"/>
      <family val="2"/>
      <scheme val="minor"/>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9"/>
      <color rgb="FFFF0000"/>
      <name val="Calibri"/>
      <family val="2"/>
      <scheme val="minor"/>
    </font>
    <font>
      <b/>
      <sz val="12"/>
      <color theme="0"/>
      <name val="Calibri"/>
      <family val="2"/>
      <scheme val="minor"/>
    </font>
    <font>
      <i/>
      <sz val="11"/>
      <color theme="2" tint="-0.499984740745262"/>
      <name val="Calibri"/>
      <family val="2"/>
      <scheme val="minor"/>
    </font>
    <font>
      <b/>
      <sz val="11"/>
      <color rgb="FFFF0000"/>
      <name val="Calibri"/>
      <family val="2"/>
      <scheme val="minor"/>
    </font>
    <font>
      <sz val="10"/>
      <color theme="1"/>
      <name val="Calibri"/>
      <family val="2"/>
      <scheme val="minor"/>
    </font>
    <font>
      <sz val="11"/>
      <name val="Calibri"/>
      <family val="2"/>
      <scheme val="minor"/>
    </font>
    <font>
      <sz val="14"/>
      <color theme="1"/>
      <name val="Calibri"/>
      <family val="2"/>
      <scheme val="minor"/>
    </font>
    <font>
      <sz val="14"/>
      <name val="Calibri"/>
      <family val="2"/>
      <scheme val="minor"/>
    </font>
    <font>
      <sz val="18"/>
      <name val="Calibri"/>
      <family val="2"/>
      <scheme val="minor"/>
    </font>
    <font>
      <b/>
      <sz val="18"/>
      <color theme="1"/>
      <name val="Calibri"/>
      <family val="2"/>
      <scheme val="minor"/>
    </font>
    <font>
      <sz val="18"/>
      <color theme="1"/>
      <name val="Calibri"/>
      <family val="2"/>
      <scheme val="minor"/>
    </font>
    <font>
      <b/>
      <sz val="18"/>
      <color rgb="FFFF0000"/>
      <name val="Calibri"/>
      <family val="2"/>
      <scheme val="minor"/>
    </font>
    <font>
      <sz val="11"/>
      <color theme="1"/>
      <name val="Calibri"/>
      <family val="2"/>
    </font>
    <font>
      <b/>
      <sz val="11"/>
      <color rgb="FF000000"/>
      <name val="Calibri"/>
      <family val="2"/>
    </font>
    <font>
      <sz val="11"/>
      <color rgb="FF000000"/>
      <name val="Calibri"/>
      <family val="2"/>
    </font>
    <font>
      <sz val="11"/>
      <color rgb="FF000000"/>
      <name val="Calibri"/>
      <family val="2"/>
      <scheme val="minor"/>
    </font>
    <font>
      <sz val="11"/>
      <color theme="0" tint="-0.499984740745262"/>
      <name val="Calibri"/>
      <family val="2"/>
      <scheme val="minor"/>
    </font>
    <font>
      <b/>
      <sz val="11"/>
      <name val="Calibri"/>
      <family val="2"/>
      <scheme val="minor"/>
    </font>
    <font>
      <u/>
      <sz val="11"/>
      <color theme="10"/>
      <name val="Calibri"/>
      <family val="2"/>
      <scheme val="minor"/>
    </font>
  </fonts>
  <fills count="42">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rgb="FF92D05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rgb="FF00B0F0"/>
        <bgColor indexed="64"/>
      </patternFill>
    </fill>
    <fill>
      <patternFill patternType="solid">
        <fgColor rgb="FFFFFF99"/>
        <bgColor indexed="64"/>
      </patternFill>
    </fill>
    <fill>
      <patternFill patternType="solid">
        <fgColor theme="4" tint="0.59999389629810485"/>
        <bgColor indexed="64"/>
      </patternFill>
    </fill>
    <fill>
      <patternFill patternType="solid">
        <fgColor rgb="FFEC9BFF"/>
        <bgColor indexed="64"/>
      </patternFill>
    </fill>
    <fill>
      <patternFill patternType="solid">
        <fgColor rgb="FF7EE8DB"/>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8BE7F1"/>
        <bgColor indexed="64"/>
      </patternFill>
    </fill>
    <fill>
      <patternFill patternType="solid">
        <fgColor rgb="FFFFC7CE"/>
      </patternFill>
    </fill>
    <fill>
      <patternFill patternType="solid">
        <fgColor theme="5" tint="0.79998168889431442"/>
        <bgColor indexed="64"/>
      </patternFill>
    </fill>
    <fill>
      <patternFill patternType="solid">
        <fgColor theme="7" tint="0.59999389629810485"/>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rgb="FFD2F6FA"/>
        <bgColor indexed="64"/>
      </patternFill>
    </fill>
    <fill>
      <patternFill patternType="solid">
        <fgColor rgb="FFFFFFCC"/>
      </patternFill>
    </fill>
    <fill>
      <patternFill patternType="solid">
        <fgColor rgb="FFF2F2F2"/>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7ABAB"/>
        <bgColor indexed="64"/>
      </patternFill>
    </fill>
    <fill>
      <patternFill patternType="solid">
        <fgColor theme="8"/>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0.249977111117893"/>
        <bgColor indexed="64"/>
      </patternFill>
    </fill>
    <fill>
      <patternFill patternType="solid">
        <fgColor rgb="FFFFFFCC"/>
        <bgColor rgb="FFFFFFFF"/>
      </patternFill>
    </fill>
    <fill>
      <patternFill patternType="solid">
        <fgColor theme="8" tint="0.39997558519241921"/>
        <bgColor indexed="64"/>
      </patternFill>
    </fill>
  </fills>
  <borders count="58">
    <border>
      <left/>
      <right/>
      <top/>
      <bottom/>
      <diagonal/>
    </border>
    <border>
      <left style="thin">
        <color indexed="64"/>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theme="4" tint="0.39997558519241921"/>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theme="4" tint="0.39997558519241921"/>
      </right>
      <top style="thin">
        <color theme="4" tint="0.39997558519241921"/>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bottom/>
      <diagonal/>
    </border>
    <border>
      <left style="thin">
        <color rgb="FFB2B2B2"/>
      </left>
      <right/>
      <top style="thin">
        <color rgb="FFB2B2B2"/>
      </top>
      <bottom style="thin">
        <color rgb="FFB2B2B2"/>
      </bottom>
      <diagonal/>
    </border>
    <border>
      <left/>
      <right style="thin">
        <color rgb="FFB2B2B2"/>
      </right>
      <top style="thin">
        <color rgb="FFB2B2B2"/>
      </top>
      <bottom style="thin">
        <color rgb="FFB2B2B2"/>
      </bottom>
      <diagonal/>
    </border>
    <border>
      <left/>
      <right/>
      <top style="thin">
        <color rgb="FFB2B2B2"/>
      </top>
      <bottom style="thin">
        <color rgb="FFB2B2B2"/>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style="thin">
        <color rgb="FFB2B2B2"/>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rgb="FF7F7F7F"/>
      </left>
      <right style="thin">
        <color rgb="FF7F7F7F"/>
      </right>
      <top style="medium">
        <color indexed="64"/>
      </top>
      <bottom style="thin">
        <color indexed="64"/>
      </bottom>
      <diagonal/>
    </border>
    <border>
      <left style="thin">
        <color rgb="FF7F7F7F"/>
      </left>
      <right style="thin">
        <color rgb="FF7F7F7F"/>
      </right>
      <top style="thin">
        <color indexed="64"/>
      </top>
      <bottom style="thin">
        <color indexed="64"/>
      </bottom>
      <diagonal/>
    </border>
    <border>
      <left/>
      <right/>
      <top style="thin">
        <color indexed="64"/>
      </top>
      <bottom style="medium">
        <color indexed="64"/>
      </bottom>
      <diagonal/>
    </border>
    <border>
      <left style="thin">
        <color rgb="FF7F7F7F"/>
      </left>
      <right style="thin">
        <color rgb="FF7F7F7F"/>
      </right>
      <top style="thin">
        <color indexed="64"/>
      </top>
      <bottom style="medium">
        <color indexed="64"/>
      </bottom>
      <diagonal/>
    </border>
    <border>
      <left style="thin">
        <color rgb="FFB2B2B2"/>
      </left>
      <right/>
      <top style="medium">
        <color indexed="64"/>
      </top>
      <bottom/>
      <diagonal/>
    </border>
    <border>
      <left style="thin">
        <color indexed="64"/>
      </left>
      <right style="thin">
        <color indexed="64"/>
      </right>
      <top style="thin">
        <color indexed="64"/>
      </top>
      <bottom/>
      <diagonal/>
    </border>
    <border>
      <left style="thin">
        <color rgb="FFB2B2B2"/>
      </left>
      <right/>
      <top style="thin">
        <color rgb="FFB2B2B2"/>
      </top>
      <bottom/>
      <diagonal/>
    </border>
  </borders>
  <cellStyleXfs count="9">
    <xf numFmtId="0" fontId="0" fillId="0" borderId="0"/>
    <xf numFmtId="0" fontId="4" fillId="0" borderId="15" applyNumberFormat="0" applyFill="0" applyAlignment="0" applyProtection="0"/>
    <xf numFmtId="0" fontId="12" fillId="22" borderId="0" applyNumberFormat="0" applyBorder="0" applyAlignment="0" applyProtection="0"/>
    <xf numFmtId="0" fontId="17" fillId="31" borderId="30" applyNumberFormat="0" applyFont="0" applyAlignment="0" applyProtection="0"/>
    <xf numFmtId="0" fontId="17" fillId="31" borderId="30">
      <alignment horizontal="right"/>
      <protection locked="0"/>
    </xf>
    <xf numFmtId="9" fontId="17" fillId="0" borderId="0" applyFont="0" applyFill="0" applyBorder="0" applyAlignment="0" applyProtection="0"/>
    <xf numFmtId="0" fontId="19" fillId="32" borderId="31" applyNumberFormat="0" applyAlignment="0" applyProtection="0"/>
    <xf numFmtId="0" fontId="8" fillId="31" borderId="30">
      <alignment horizontal="center"/>
      <protection locked="0"/>
    </xf>
    <xf numFmtId="0" fontId="39" fillId="0" borderId="0" applyNumberFormat="0" applyFill="0" applyBorder="0" applyAlignment="0" applyProtection="0"/>
  </cellStyleXfs>
  <cellXfs count="592">
    <xf numFmtId="0" fontId="0" fillId="0" borderId="0" xfId="0"/>
    <xf numFmtId="0" fontId="0" fillId="13" borderId="8" xfId="0" applyFill="1" applyBorder="1" applyAlignment="1">
      <alignment horizontal="left" vertical="center" wrapText="1"/>
    </xf>
    <xf numFmtId="0" fontId="0" fillId="0" borderId="0" xfId="0" applyAlignment="1">
      <alignment wrapText="1"/>
    </xf>
    <xf numFmtId="0" fontId="0" fillId="0" borderId="0" xfId="0"/>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5" fillId="0" borderId="3" xfId="1" applyFont="1" applyBorder="1" applyAlignment="1">
      <alignment horizontal="left" vertical="center" wrapText="1"/>
    </xf>
    <xf numFmtId="0" fontId="6" fillId="15" borderId="0" xfId="0" applyFont="1" applyFill="1" applyBorder="1" applyAlignment="1">
      <alignment horizontal="left" vertical="center"/>
    </xf>
    <xf numFmtId="0" fontId="0" fillId="12" borderId="3" xfId="0" applyFill="1" applyBorder="1" applyAlignment="1">
      <alignment horizontal="left" vertical="center" wrapText="1"/>
    </xf>
    <xf numFmtId="0" fontId="0" fillId="15" borderId="0" xfId="0" applyFill="1" applyBorder="1" applyAlignment="1">
      <alignment horizontal="left" vertical="center"/>
    </xf>
    <xf numFmtId="0" fontId="0" fillId="16" borderId="3" xfId="0" applyFill="1" applyBorder="1" applyAlignment="1">
      <alignment horizontal="left" vertical="center" wrapText="1"/>
    </xf>
    <xf numFmtId="0" fontId="0" fillId="15" borderId="1" xfId="0" applyFill="1" applyBorder="1" applyAlignment="1">
      <alignment horizontal="left" vertical="center"/>
    </xf>
    <xf numFmtId="0" fontId="0" fillId="3" borderId="3" xfId="0" applyFill="1" applyBorder="1" applyAlignment="1">
      <alignment horizontal="left" vertical="center" wrapText="1"/>
    </xf>
    <xf numFmtId="0" fontId="0" fillId="6" borderId="3" xfId="0" applyFill="1" applyBorder="1" applyAlignment="1">
      <alignment horizontal="left" vertical="center" wrapText="1"/>
    </xf>
    <xf numFmtId="0" fontId="0" fillId="8" borderId="3" xfId="0" applyFill="1" applyBorder="1" applyAlignment="1">
      <alignment horizontal="left" vertical="center" wrapText="1"/>
    </xf>
    <xf numFmtId="0" fontId="0" fillId="17" borderId="3" xfId="0" applyFill="1" applyBorder="1" applyAlignment="1">
      <alignment horizontal="left" vertical="center" wrapText="1"/>
    </xf>
    <xf numFmtId="0" fontId="0" fillId="5" borderId="3" xfId="0" applyFill="1" applyBorder="1" applyAlignment="1">
      <alignment horizontal="left" vertical="center" wrapText="1"/>
    </xf>
    <xf numFmtId="0" fontId="0" fillId="18" borderId="3" xfId="0" applyFill="1" applyBorder="1" applyAlignment="1">
      <alignment horizontal="left" vertical="center" wrapText="1"/>
    </xf>
    <xf numFmtId="0" fontId="0" fillId="7" borderId="3" xfId="0" applyFill="1" applyBorder="1" applyAlignment="1">
      <alignment horizontal="left" vertical="center" wrapText="1"/>
    </xf>
    <xf numFmtId="0" fontId="0" fillId="19" borderId="3" xfId="0" applyFill="1" applyBorder="1" applyAlignment="1">
      <alignment horizontal="left" vertical="center" wrapText="1"/>
    </xf>
    <xf numFmtId="0" fontId="0" fillId="0" borderId="0" xfId="0" applyAlignment="1">
      <alignment horizontal="left" vertical="center" wrapText="1"/>
    </xf>
    <xf numFmtId="0" fontId="0" fillId="14" borderId="0" xfId="0" applyFill="1" applyAlignment="1">
      <alignment vertical="center" wrapText="1"/>
    </xf>
    <xf numFmtId="0" fontId="0" fillId="14" borderId="0" xfId="0" applyFill="1" applyAlignment="1">
      <alignment vertical="center"/>
    </xf>
    <xf numFmtId="0" fontId="0" fillId="10" borderId="5" xfId="0" applyFill="1" applyBorder="1" applyAlignment="1">
      <alignment horizontal="center" vertical="center"/>
    </xf>
    <xf numFmtId="0" fontId="0" fillId="0" borderId="0" xfId="0" applyAlignment="1">
      <alignment vertical="center"/>
    </xf>
    <xf numFmtId="0" fontId="0" fillId="9" borderId="0" xfId="0" applyFill="1" applyAlignment="1">
      <alignment horizontal="right" vertical="center"/>
    </xf>
    <xf numFmtId="0" fontId="0" fillId="13" borderId="6" xfId="0" applyFill="1" applyBorder="1" applyAlignment="1">
      <alignment horizontal="left" vertical="center" wrapText="1"/>
    </xf>
    <xf numFmtId="0" fontId="0" fillId="15" borderId="0" xfId="0" applyFill="1"/>
    <xf numFmtId="0" fontId="0" fillId="15" borderId="0" xfId="0" applyFill="1" applyAlignment="1">
      <alignment vertical="center"/>
    </xf>
    <xf numFmtId="0" fontId="0" fillId="15" borderId="0" xfId="0" applyFill="1" applyAlignment="1">
      <alignment vertical="center" wrapText="1"/>
    </xf>
    <xf numFmtId="0" fontId="0" fillId="15" borderId="0" xfId="0" applyFill="1" applyAlignment="1">
      <alignment wrapText="1"/>
    </xf>
    <xf numFmtId="0" fontId="0" fillId="12" borderId="5" xfId="0" applyFill="1" applyBorder="1" applyAlignment="1">
      <alignment horizontal="center" vertical="center"/>
    </xf>
    <xf numFmtId="0" fontId="0" fillId="15" borderId="0" xfId="0" applyFill="1" applyBorder="1"/>
    <xf numFmtId="0" fontId="0" fillId="21" borderId="7" xfId="0" applyFill="1" applyBorder="1" applyAlignment="1">
      <alignment horizontal="center" vertical="center" wrapText="1"/>
    </xf>
    <xf numFmtId="0" fontId="8" fillId="0" borderId="5" xfId="0" applyFont="1" applyBorder="1" applyAlignment="1">
      <alignment horizontal="center" vertical="center" wrapText="1"/>
    </xf>
    <xf numFmtId="0" fontId="0" fillId="11" borderId="5" xfId="0" applyFont="1" applyFill="1" applyBorder="1" applyAlignment="1">
      <alignment horizontal="center" vertical="center" wrapText="1"/>
    </xf>
    <xf numFmtId="0" fontId="0" fillId="14" borderId="4" xfId="0" applyFill="1" applyBorder="1" applyAlignment="1">
      <alignment horizontal="left" vertical="center"/>
    </xf>
    <xf numFmtId="0" fontId="7" fillId="2" borderId="17" xfId="0" applyFont="1" applyFill="1" applyBorder="1" applyAlignment="1">
      <alignment vertical="center"/>
    </xf>
    <xf numFmtId="0" fontId="9" fillId="2" borderId="17" xfId="0" applyFont="1" applyFill="1" applyBorder="1" applyAlignment="1">
      <alignment horizontal="left" vertical="center" wrapText="1"/>
    </xf>
    <xf numFmtId="0" fontId="10" fillId="2" borderId="17" xfId="0" applyFont="1" applyFill="1" applyBorder="1"/>
    <xf numFmtId="0" fontId="10" fillId="2" borderId="17" xfId="0" applyFont="1" applyFill="1" applyBorder="1" applyAlignment="1">
      <alignment wrapText="1"/>
    </xf>
    <xf numFmtId="0" fontId="10" fillId="0" borderId="17" xfId="0" applyFont="1" applyBorder="1"/>
    <xf numFmtId="0" fontId="3" fillId="8" borderId="16" xfId="0" applyFont="1" applyFill="1" applyBorder="1" applyAlignment="1">
      <alignment horizontal="center" vertical="center"/>
    </xf>
    <xf numFmtId="0" fontId="0" fillId="14" borderId="10" xfId="0" applyFill="1" applyBorder="1" applyAlignment="1">
      <alignment horizontal="center" vertical="center"/>
    </xf>
    <xf numFmtId="0" fontId="0" fillId="13" borderId="5" xfId="0" applyFill="1" applyBorder="1" applyAlignment="1">
      <alignment horizontal="center" vertical="center"/>
    </xf>
    <xf numFmtId="0" fontId="0" fillId="13" borderId="3" xfId="0" applyFill="1" applyBorder="1" applyAlignment="1">
      <alignment horizontal="center" vertical="center"/>
    </xf>
    <xf numFmtId="0" fontId="1" fillId="8" borderId="2" xfId="0" applyFont="1" applyFill="1" applyBorder="1" applyAlignment="1">
      <alignment horizontal="left" vertical="center" wrapText="1"/>
    </xf>
    <xf numFmtId="0" fontId="11" fillId="15" borderId="0" xfId="0" applyFont="1" applyFill="1"/>
    <xf numFmtId="0" fontId="8" fillId="0" borderId="5" xfId="0" quotePrefix="1" applyFont="1" applyBorder="1" applyAlignment="1">
      <alignment horizontal="center" vertical="center" wrapText="1"/>
    </xf>
    <xf numFmtId="0" fontId="2" fillId="11" borderId="7" xfId="0" applyFont="1" applyFill="1" applyBorder="1" applyAlignment="1">
      <alignment horizontal="center" vertical="center" wrapText="1"/>
    </xf>
    <xf numFmtId="0" fontId="0" fillId="0" borderId="20" xfId="0" applyBorder="1" applyAlignment="1">
      <alignment horizontal="center" vertical="center"/>
    </xf>
    <xf numFmtId="49" fontId="0" fillId="12" borderId="5" xfId="0" applyNumberFormat="1" applyFill="1" applyBorder="1" applyAlignment="1">
      <alignment horizontal="center" vertical="center"/>
    </xf>
    <xf numFmtId="49" fontId="0" fillId="10" borderId="5" xfId="0" applyNumberFormat="1" applyFill="1" applyBorder="1" applyAlignment="1">
      <alignment horizontal="center" vertical="center"/>
    </xf>
    <xf numFmtId="49" fontId="0" fillId="11" borderId="5" xfId="0" applyNumberFormat="1" applyFont="1" applyFill="1" applyBorder="1" applyAlignment="1">
      <alignment horizontal="center" vertical="center" wrapText="1"/>
    </xf>
    <xf numFmtId="0" fontId="0" fillId="10" borderId="3" xfId="0" applyFill="1" applyBorder="1" applyAlignment="1">
      <alignment horizontal="left" vertical="center" wrapText="1"/>
    </xf>
    <xf numFmtId="0" fontId="0" fillId="8" borderId="8" xfId="0" applyFill="1" applyBorder="1" applyAlignment="1">
      <alignment horizontal="left" vertical="center" wrapText="1"/>
    </xf>
    <xf numFmtId="0" fontId="0" fillId="2" borderId="3" xfId="0" applyFill="1" applyBorder="1" applyAlignment="1">
      <alignment horizontal="left" vertical="center" wrapText="1"/>
    </xf>
    <xf numFmtId="0" fontId="5" fillId="0" borderId="8" xfId="1" applyFont="1" applyBorder="1" applyAlignment="1">
      <alignment horizontal="left" vertical="center" wrapText="1"/>
    </xf>
    <xf numFmtId="0" fontId="0" fillId="12" borderId="8" xfId="0" applyFill="1" applyBorder="1" applyAlignment="1">
      <alignment horizontal="left" vertical="center" wrapText="1"/>
    </xf>
    <xf numFmtId="0" fontId="0" fillId="16" borderId="8" xfId="0" applyFill="1" applyBorder="1" applyAlignment="1">
      <alignment horizontal="left" vertical="center" wrapText="1"/>
    </xf>
    <xf numFmtId="0" fontId="0" fillId="3" borderId="8" xfId="0" applyFill="1" applyBorder="1" applyAlignment="1">
      <alignment horizontal="left" vertical="center" wrapText="1"/>
    </xf>
    <xf numFmtId="0" fontId="0" fillId="6" borderId="8" xfId="0" applyFill="1" applyBorder="1" applyAlignment="1">
      <alignment horizontal="left" vertical="center" wrapText="1"/>
    </xf>
    <xf numFmtId="0" fontId="0" fillId="17" borderId="8" xfId="0" applyFill="1" applyBorder="1" applyAlignment="1">
      <alignment horizontal="left" vertical="center" wrapText="1"/>
    </xf>
    <xf numFmtId="0" fontId="0" fillId="5" borderId="8" xfId="0" applyFill="1" applyBorder="1" applyAlignment="1">
      <alignment horizontal="left" vertical="center" wrapText="1"/>
    </xf>
    <xf numFmtId="0" fontId="0" fillId="18" borderId="8" xfId="0" applyFill="1" applyBorder="1" applyAlignment="1">
      <alignment horizontal="left" vertical="center" wrapText="1"/>
    </xf>
    <xf numFmtId="0" fontId="0" fillId="7" borderId="8" xfId="0" applyFill="1" applyBorder="1" applyAlignment="1">
      <alignment horizontal="left" vertical="center" wrapText="1"/>
    </xf>
    <xf numFmtId="0" fontId="0" fillId="19" borderId="8" xfId="0" applyFill="1" applyBorder="1" applyAlignment="1">
      <alignment horizontal="left" vertical="center" wrapText="1"/>
    </xf>
    <xf numFmtId="0" fontId="0" fillId="10" borderId="8" xfId="0" applyFill="1" applyBorder="1" applyAlignment="1">
      <alignment horizontal="left" vertical="center" wrapText="1"/>
    </xf>
    <xf numFmtId="0" fontId="0" fillId="0" borderId="3" xfId="0" applyBorder="1" applyAlignment="1">
      <alignment horizontal="left" vertical="center" wrapText="1"/>
    </xf>
    <xf numFmtId="0" fontId="0" fillId="2" borderId="8" xfId="0" applyFill="1" applyBorder="1" applyAlignment="1">
      <alignment horizontal="left" vertical="center" wrapText="1"/>
    </xf>
    <xf numFmtId="0" fontId="12" fillId="22" borderId="8" xfId="2" applyBorder="1" applyAlignment="1">
      <alignment horizontal="left" vertical="center" wrapText="1"/>
    </xf>
    <xf numFmtId="0" fontId="0" fillId="0" borderId="0" xfId="0" applyBorder="1" applyAlignment="1">
      <alignment horizontal="left" vertical="center" wrapText="1"/>
    </xf>
    <xf numFmtId="0" fontId="0" fillId="14" borderId="19" xfId="0" applyFill="1" applyBorder="1" applyAlignment="1">
      <alignment vertical="center" wrapText="1"/>
    </xf>
    <xf numFmtId="49" fontId="8" fillId="2" borderId="5" xfId="0" applyNumberFormat="1" applyFont="1" applyFill="1" applyBorder="1" applyAlignment="1">
      <alignment horizontal="center" vertical="center" wrapText="1"/>
    </xf>
    <xf numFmtId="0" fontId="14" fillId="0" borderId="0" xfId="0" applyFont="1"/>
    <xf numFmtId="0" fontId="14" fillId="0" borderId="0" xfId="0" applyFont="1" applyAlignment="1">
      <alignment wrapText="1"/>
    </xf>
    <xf numFmtId="0" fontId="2" fillId="0" borderId="0" xfId="0" applyFont="1"/>
    <xf numFmtId="0" fontId="0" fillId="20" borderId="0" xfId="0" applyFill="1" applyBorder="1" applyAlignment="1">
      <alignment horizontal="center" vertical="center"/>
    </xf>
    <xf numFmtId="0" fontId="10" fillId="15" borderId="0" xfId="0" applyFont="1" applyFill="1"/>
    <xf numFmtId="0" fontId="0" fillId="25" borderId="23" xfId="0" applyFont="1" applyFill="1" applyBorder="1"/>
    <xf numFmtId="0" fontId="0" fillId="26" borderId="23" xfId="0" applyFont="1" applyFill="1" applyBorder="1"/>
    <xf numFmtId="0" fontId="0" fillId="27" borderId="23" xfId="0" applyFont="1" applyFill="1" applyBorder="1"/>
    <xf numFmtId="0" fontId="0" fillId="28" borderId="23" xfId="0" applyFont="1" applyFill="1" applyBorder="1"/>
    <xf numFmtId="0" fontId="0" fillId="29" borderId="23" xfId="0" applyFont="1" applyFill="1" applyBorder="1"/>
    <xf numFmtId="0" fontId="2" fillId="24" borderId="0" xfId="0" applyFont="1" applyFill="1" applyBorder="1"/>
    <xf numFmtId="0" fontId="0" fillId="12" borderId="0" xfId="0" applyFont="1" applyFill="1" applyBorder="1" applyAlignment="1">
      <alignment horizontal="left" vertical="center"/>
    </xf>
    <xf numFmtId="0" fontId="0" fillId="31" borderId="30" xfId="3" applyFont="1" applyAlignment="1" applyProtection="1">
      <alignment horizontal="right"/>
      <protection locked="0"/>
    </xf>
    <xf numFmtId="0" fontId="7" fillId="18" borderId="0" xfId="0" applyFont="1" applyFill="1" applyBorder="1" applyAlignment="1">
      <alignment horizontal="center" vertical="center"/>
    </xf>
    <xf numFmtId="0" fontId="7" fillId="18" borderId="0" xfId="0" applyFont="1" applyFill="1" applyBorder="1" applyAlignment="1">
      <alignment horizontal="center" vertical="center" wrapText="1"/>
    </xf>
    <xf numFmtId="0" fontId="14" fillId="33" borderId="0" xfId="0" applyFont="1" applyFill="1" applyAlignment="1">
      <alignment horizontal="center" vertical="center"/>
    </xf>
    <xf numFmtId="0" fontId="2" fillId="21" borderId="32" xfId="0" applyFont="1" applyFill="1" applyBorder="1" applyAlignment="1">
      <alignment horizontal="center" vertical="center" wrapText="1"/>
    </xf>
    <xf numFmtId="1" fontId="2" fillId="13" borderId="32" xfId="0" applyNumberFormat="1" applyFont="1" applyFill="1" applyBorder="1" applyAlignment="1">
      <alignment horizontal="center" vertical="center" wrapText="1"/>
    </xf>
    <xf numFmtId="0" fontId="2" fillId="24" borderId="32" xfId="0" applyFont="1" applyFill="1" applyBorder="1" applyAlignment="1">
      <alignment horizontal="center" vertical="center" wrapText="1"/>
    </xf>
    <xf numFmtId="1" fontId="2" fillId="23" borderId="32" xfId="0" applyNumberFormat="1" applyFont="1" applyFill="1" applyBorder="1" applyAlignment="1">
      <alignment horizontal="center" vertical="center" wrapText="1"/>
    </xf>
    <xf numFmtId="0" fontId="2" fillId="19" borderId="33" xfId="0" applyFont="1" applyFill="1" applyBorder="1" applyAlignment="1">
      <alignment horizontal="center" vertical="center" wrapText="1"/>
    </xf>
    <xf numFmtId="0" fontId="2" fillId="19" borderId="32" xfId="0" applyFont="1" applyFill="1" applyBorder="1" applyAlignment="1">
      <alignment horizontal="center" vertical="center" wrapText="1"/>
    </xf>
    <xf numFmtId="0" fontId="5" fillId="0" borderId="11" xfId="1" applyFont="1" applyBorder="1" applyAlignment="1">
      <alignment horizontal="left" vertical="center" wrapText="1"/>
    </xf>
    <xf numFmtId="0" fontId="5" fillId="0" borderId="13" xfId="1" applyFont="1" applyBorder="1" applyAlignment="1">
      <alignment horizontal="left" vertical="center" wrapText="1"/>
    </xf>
    <xf numFmtId="0" fontId="5" fillId="2" borderId="14" xfId="1" applyFont="1" applyFill="1" applyBorder="1" applyAlignment="1">
      <alignment horizontal="center" vertical="center" wrapText="1"/>
    </xf>
    <xf numFmtId="0" fontId="5" fillId="33" borderId="12" xfId="1" applyFont="1" applyFill="1" applyBorder="1" applyAlignment="1">
      <alignment horizontal="center" vertical="center" wrapText="1"/>
    </xf>
    <xf numFmtId="0" fontId="5" fillId="27" borderId="13" xfId="1" applyFont="1" applyFill="1" applyBorder="1" applyAlignment="1">
      <alignment horizontal="left" vertical="center" wrapText="1"/>
    </xf>
    <xf numFmtId="0" fontId="14" fillId="0" borderId="2" xfId="0" applyFont="1" applyBorder="1"/>
    <xf numFmtId="0" fontId="0" fillId="23" borderId="13" xfId="0" applyFill="1" applyBorder="1" applyAlignment="1">
      <alignment horizontal="center" vertical="center" wrapText="1"/>
    </xf>
    <xf numFmtId="0" fontId="2" fillId="4" borderId="16" xfId="0" applyFont="1" applyFill="1" applyBorder="1" applyAlignment="1">
      <alignment horizontal="center" vertical="center" wrapText="1"/>
    </xf>
    <xf numFmtId="0" fontId="23" fillId="15" borderId="0" xfId="0" applyFont="1" applyFill="1" applyBorder="1" applyAlignment="1">
      <alignment horizontal="left" vertical="center" wrapText="1"/>
    </xf>
    <xf numFmtId="0" fontId="23" fillId="15" borderId="34" xfId="0" applyFont="1" applyFill="1" applyBorder="1" applyAlignment="1">
      <alignment horizontal="left" vertical="center" wrapText="1"/>
    </xf>
    <xf numFmtId="9" fontId="0" fillId="15" borderId="0" xfId="0" applyNumberFormat="1" applyFill="1" applyBorder="1" applyAlignment="1">
      <alignment horizontal="left" vertical="center"/>
    </xf>
    <xf numFmtId="0" fontId="0" fillId="15" borderId="3" xfId="0" applyFill="1" applyBorder="1" applyAlignment="1">
      <alignment horizontal="left" vertical="center" wrapText="1"/>
    </xf>
    <xf numFmtId="0" fontId="17" fillId="31" borderId="3" xfId="4" applyBorder="1">
      <alignment horizontal="right"/>
      <protection locked="0"/>
    </xf>
    <xf numFmtId="0" fontId="7" fillId="21" borderId="8" xfId="0" applyFont="1" applyFill="1" applyBorder="1" applyAlignment="1">
      <alignment horizontal="left" vertical="center"/>
    </xf>
    <xf numFmtId="0" fontId="7" fillId="21" borderId="18" xfId="0" applyFont="1" applyFill="1" applyBorder="1" applyAlignment="1">
      <alignment horizontal="center" vertical="center"/>
    </xf>
    <xf numFmtId="0" fontId="7" fillId="21" borderId="9" xfId="0" applyFont="1" applyFill="1" applyBorder="1" applyAlignment="1">
      <alignment horizontal="center" vertical="center"/>
    </xf>
    <xf numFmtId="0" fontId="0" fillId="0" borderId="0" xfId="0" applyFill="1" applyBorder="1" applyAlignment="1">
      <alignment horizontal="left"/>
    </xf>
    <xf numFmtId="0" fontId="7" fillId="0" borderId="0" xfId="0" applyFont="1"/>
    <xf numFmtId="0" fontId="0" fillId="0" borderId="0" xfId="0" applyFill="1"/>
    <xf numFmtId="0" fontId="0" fillId="20" borderId="3" xfId="0" applyFill="1" applyBorder="1"/>
    <xf numFmtId="0" fontId="0" fillId="20" borderId="3" xfId="0" applyFill="1" applyBorder="1" applyAlignment="1">
      <alignment horizontal="center" vertical="center" wrapText="1"/>
    </xf>
    <xf numFmtId="0" fontId="0" fillId="20" borderId="3" xfId="0" applyFill="1" applyBorder="1" applyAlignment="1">
      <alignment horizontal="left"/>
    </xf>
    <xf numFmtId="0" fontId="0" fillId="34" borderId="3" xfId="0" applyFill="1" applyBorder="1"/>
    <xf numFmtId="2" fontId="0" fillId="34" borderId="3" xfId="0" applyNumberFormat="1" applyFill="1" applyBorder="1"/>
    <xf numFmtId="2" fontId="15" fillId="0" borderId="0" xfId="0" applyNumberFormat="1" applyFont="1"/>
    <xf numFmtId="2" fontId="0" fillId="0" borderId="0" xfId="0" applyNumberFormat="1" applyFill="1" applyBorder="1"/>
    <xf numFmtId="0" fontId="0" fillId="21" borderId="0" xfId="0" applyFill="1"/>
    <xf numFmtId="0" fontId="0" fillId="35" borderId="0" xfId="0" applyFill="1"/>
    <xf numFmtId="0" fontId="0" fillId="10" borderId="0" xfId="0" applyFill="1"/>
    <xf numFmtId="0" fontId="0" fillId="29" borderId="0" xfId="0" applyFill="1"/>
    <xf numFmtId="0" fontId="0" fillId="25" borderId="0" xfId="0" applyFill="1"/>
    <xf numFmtId="0" fontId="18" fillId="36" borderId="0" xfId="0" applyFont="1" applyFill="1"/>
    <xf numFmtId="0" fontId="0" fillId="28" borderId="0" xfId="0" applyFill="1"/>
    <xf numFmtId="0" fontId="0" fillId="26" borderId="0" xfId="0" applyFill="1"/>
    <xf numFmtId="164" fontId="0" fillId="29" borderId="0" xfId="0" applyNumberFormat="1" applyFill="1"/>
    <xf numFmtId="164" fontId="0" fillId="25" borderId="0" xfId="0" applyNumberFormat="1" applyFill="1"/>
    <xf numFmtId="164" fontId="0" fillId="27" borderId="0" xfId="0" applyNumberFormat="1" applyFill="1"/>
    <xf numFmtId="164" fontId="0" fillId="28" borderId="0" xfId="0" applyNumberFormat="1" applyFill="1"/>
    <xf numFmtId="164" fontId="0" fillId="26" borderId="0" xfId="0" applyNumberFormat="1" applyFill="1"/>
    <xf numFmtId="164" fontId="0" fillId="0" borderId="0" xfId="0" applyNumberFormat="1"/>
    <xf numFmtId="2" fontId="15" fillId="0" borderId="0" xfId="0" applyNumberFormat="1" applyFont="1" applyFill="1" applyBorder="1"/>
    <xf numFmtId="2" fontId="0" fillId="37" borderId="3" xfId="0" applyNumberFormat="1" applyFill="1" applyBorder="1"/>
    <xf numFmtId="2" fontId="0" fillId="0" borderId="0" xfId="0" applyNumberFormat="1" applyFill="1"/>
    <xf numFmtId="0" fontId="0" fillId="38" borderId="3" xfId="0" applyFill="1" applyBorder="1" applyAlignment="1">
      <alignment horizontal="center" vertical="center"/>
    </xf>
    <xf numFmtId="0" fontId="5" fillId="39" borderId="16" xfId="1" applyFont="1" applyFill="1" applyBorder="1" applyAlignment="1">
      <alignment horizontal="left" vertical="center" wrapText="1"/>
    </xf>
    <xf numFmtId="0" fontId="5" fillId="39" borderId="38" xfId="1" applyFont="1" applyFill="1" applyBorder="1" applyAlignment="1">
      <alignment horizontal="left" vertical="center" wrapText="1"/>
    </xf>
    <xf numFmtId="0" fontId="15" fillId="38" borderId="0" xfId="0" applyFont="1" applyFill="1" applyBorder="1" applyAlignment="1">
      <alignment horizontal="left" indent="1"/>
    </xf>
    <xf numFmtId="0" fontId="0" fillId="0" borderId="0" xfId="0" applyFont="1"/>
    <xf numFmtId="0" fontId="0" fillId="15" borderId="0" xfId="0" applyFont="1" applyFill="1"/>
    <xf numFmtId="0" fontId="0" fillId="38" borderId="24" xfId="0" applyFont="1" applyFill="1" applyBorder="1"/>
    <xf numFmtId="0" fontId="0" fillId="38" borderId="25" xfId="0" applyFont="1" applyFill="1" applyBorder="1"/>
    <xf numFmtId="0" fontId="0" fillId="38" borderId="4" xfId="0" applyFont="1" applyFill="1" applyBorder="1"/>
    <xf numFmtId="0" fontId="0" fillId="38" borderId="19" xfId="0" applyFont="1" applyFill="1" applyBorder="1"/>
    <xf numFmtId="0" fontId="0" fillId="38" borderId="0" xfId="0" applyFont="1" applyFill="1" applyBorder="1"/>
    <xf numFmtId="0" fontId="0" fillId="38" borderId="26" xfId="0" applyFont="1" applyFill="1" applyBorder="1"/>
    <xf numFmtId="0" fontId="0" fillId="38" borderId="0" xfId="0" applyFont="1" applyFill="1" applyBorder="1" applyAlignment="1">
      <alignment horizontal="right"/>
    </xf>
    <xf numFmtId="0" fontId="0" fillId="38" borderId="0" xfId="0" applyFont="1" applyFill="1" applyBorder="1" applyAlignment="1">
      <alignment horizontal="left" wrapText="1"/>
    </xf>
    <xf numFmtId="0" fontId="0" fillId="38" borderId="27" xfId="0" applyFont="1" applyFill="1" applyBorder="1"/>
    <xf numFmtId="0" fontId="0" fillId="38" borderId="28" xfId="0" applyFont="1" applyFill="1" applyBorder="1"/>
    <xf numFmtId="0" fontId="0" fillId="38" borderId="29" xfId="0" applyFont="1" applyFill="1" applyBorder="1"/>
    <xf numFmtId="0" fontId="0" fillId="24" borderId="24" xfId="0" applyFont="1" applyFill="1" applyBorder="1"/>
    <xf numFmtId="0" fontId="0" fillId="24" borderId="25" xfId="0" applyFont="1" applyFill="1" applyBorder="1"/>
    <xf numFmtId="0" fontId="0" fillId="24" borderId="4" xfId="0" applyFont="1" applyFill="1" applyBorder="1"/>
    <xf numFmtId="0" fontId="0" fillId="24" borderId="19" xfId="0" applyFont="1" applyFill="1" applyBorder="1"/>
    <xf numFmtId="0" fontId="0" fillId="24" borderId="0" xfId="0" applyFont="1" applyFill="1" applyBorder="1"/>
    <xf numFmtId="0" fontId="0" fillId="24" borderId="26" xfId="0" applyFont="1" applyFill="1" applyBorder="1"/>
    <xf numFmtId="0" fontId="0" fillId="24" borderId="0" xfId="0" applyFont="1" applyFill="1" applyBorder="1" applyAlignment="1">
      <alignment horizontal="left"/>
    </xf>
    <xf numFmtId="0" fontId="0" fillId="24" borderId="27" xfId="0" applyFont="1" applyFill="1" applyBorder="1"/>
    <xf numFmtId="0" fontId="0" fillId="24" borderId="28" xfId="0" applyFont="1" applyFill="1" applyBorder="1"/>
    <xf numFmtId="0" fontId="0" fillId="24" borderId="29" xfId="0" applyFont="1" applyFill="1" applyBorder="1"/>
    <xf numFmtId="0" fontId="0" fillId="12" borderId="24" xfId="0" applyFont="1" applyFill="1" applyBorder="1"/>
    <xf numFmtId="0" fontId="0" fillId="12" borderId="25" xfId="0" applyFont="1" applyFill="1" applyBorder="1"/>
    <xf numFmtId="0" fontId="0" fillId="12" borderId="4" xfId="0" applyFont="1" applyFill="1" applyBorder="1"/>
    <xf numFmtId="0" fontId="0" fillId="12" borderId="19" xfId="0" applyFont="1" applyFill="1" applyBorder="1"/>
    <xf numFmtId="0" fontId="0" fillId="12" borderId="0" xfId="0" applyFont="1" applyFill="1" applyBorder="1"/>
    <xf numFmtId="0" fontId="0" fillId="12" borderId="26" xfId="0" applyFont="1" applyFill="1" applyBorder="1"/>
    <xf numFmtId="0" fontId="0" fillId="12" borderId="0" xfId="0" applyFont="1" applyFill="1" applyBorder="1" applyAlignment="1">
      <alignment horizontal="left" vertical="center" wrapText="1"/>
    </xf>
    <xf numFmtId="0" fontId="0" fillId="12" borderId="27" xfId="0" applyFont="1" applyFill="1" applyBorder="1"/>
    <xf numFmtId="0" fontId="0" fillId="12" borderId="28" xfId="0" applyFont="1" applyFill="1" applyBorder="1"/>
    <xf numFmtId="0" fontId="0" fillId="12" borderId="29" xfId="0" applyFont="1" applyFill="1" applyBorder="1"/>
    <xf numFmtId="0" fontId="0" fillId="16" borderId="24" xfId="0" applyFont="1" applyFill="1" applyBorder="1"/>
    <xf numFmtId="0" fontId="0" fillId="16" borderId="25" xfId="0" applyFont="1" applyFill="1" applyBorder="1"/>
    <xf numFmtId="0" fontId="0" fillId="16" borderId="4" xfId="0" applyFont="1" applyFill="1" applyBorder="1"/>
    <xf numFmtId="0" fontId="0" fillId="16" borderId="19" xfId="0" applyFont="1" applyFill="1" applyBorder="1"/>
    <xf numFmtId="0" fontId="0" fillId="16" borderId="0" xfId="0" applyFont="1" applyFill="1" applyBorder="1"/>
    <xf numFmtId="0" fontId="0" fillId="16" borderId="26" xfId="0" applyFont="1" applyFill="1" applyBorder="1"/>
    <xf numFmtId="0" fontId="0" fillId="16" borderId="0" xfId="0" applyFont="1" applyFill="1" applyBorder="1" applyAlignment="1">
      <alignment horizontal="left" vertical="center"/>
    </xf>
    <xf numFmtId="0" fontId="0" fillId="16" borderId="0" xfId="0" applyFont="1" applyFill="1" applyBorder="1" applyAlignment="1">
      <alignment horizontal="left" vertical="center" wrapText="1"/>
    </xf>
    <xf numFmtId="0" fontId="0" fillId="16" borderId="27" xfId="0" applyFont="1" applyFill="1" applyBorder="1"/>
    <xf numFmtId="0" fontId="0" fillId="16" borderId="28" xfId="0" applyFont="1" applyFill="1" applyBorder="1"/>
    <xf numFmtId="0" fontId="0" fillId="16" borderId="29" xfId="0" applyFont="1" applyFill="1" applyBorder="1"/>
    <xf numFmtId="0" fontId="0" fillId="3" borderId="24" xfId="0" applyFont="1" applyFill="1" applyBorder="1"/>
    <xf numFmtId="0" fontId="0" fillId="3" borderId="25" xfId="0" applyFont="1" applyFill="1" applyBorder="1"/>
    <xf numFmtId="0" fontId="0" fillId="3" borderId="4" xfId="0" applyFont="1" applyFill="1" applyBorder="1"/>
    <xf numFmtId="0" fontId="0" fillId="3" borderId="19" xfId="0" applyFont="1" applyFill="1" applyBorder="1"/>
    <xf numFmtId="0" fontId="0" fillId="3" borderId="0" xfId="0" applyFont="1" applyFill="1" applyBorder="1"/>
    <xf numFmtId="0" fontId="0" fillId="3" borderId="26" xfId="0" applyFont="1" applyFill="1" applyBorder="1"/>
    <xf numFmtId="0" fontId="0" fillId="3" borderId="0" xfId="0" applyFont="1" applyFill="1" applyBorder="1" applyAlignment="1">
      <alignment horizontal="left" vertical="center"/>
    </xf>
    <xf numFmtId="0" fontId="0" fillId="3" borderId="0" xfId="0" applyFont="1" applyFill="1" applyBorder="1" applyAlignment="1">
      <alignment horizontal="left" vertical="center" wrapText="1"/>
    </xf>
    <xf numFmtId="0" fontId="0" fillId="3" borderId="27" xfId="0" applyFont="1" applyFill="1" applyBorder="1"/>
    <xf numFmtId="0" fontId="0" fillId="3" borderId="28" xfId="0" applyFont="1" applyFill="1" applyBorder="1"/>
    <xf numFmtId="0" fontId="0" fillId="3" borderId="29" xfId="0" applyFont="1" applyFill="1" applyBorder="1"/>
    <xf numFmtId="0" fontId="0" fillId="6" borderId="24" xfId="0" applyFont="1" applyFill="1" applyBorder="1"/>
    <xf numFmtId="0" fontId="0" fillId="6" borderId="25" xfId="0" applyFont="1" applyFill="1" applyBorder="1"/>
    <xf numFmtId="0" fontId="0" fillId="6" borderId="4" xfId="0" applyFont="1" applyFill="1" applyBorder="1"/>
    <xf numFmtId="0" fontId="0" fillId="6" borderId="19" xfId="0" applyFont="1" applyFill="1" applyBorder="1"/>
    <xf numFmtId="0" fontId="0" fillId="6" borderId="0" xfId="0" applyFont="1" applyFill="1" applyBorder="1"/>
    <xf numFmtId="0" fontId="0" fillId="6" borderId="26" xfId="0" applyFont="1" applyFill="1" applyBorder="1"/>
    <xf numFmtId="0" fontId="0" fillId="6" borderId="0" xfId="0" applyFont="1" applyFill="1" applyBorder="1" applyAlignment="1">
      <alignment horizontal="left" vertical="center"/>
    </xf>
    <xf numFmtId="0" fontId="0" fillId="6" borderId="0" xfId="0" applyFont="1" applyFill="1" applyBorder="1" applyAlignment="1">
      <alignment horizontal="left" vertical="center" wrapText="1"/>
    </xf>
    <xf numFmtId="0" fontId="0" fillId="6" borderId="27" xfId="0" applyFont="1" applyFill="1" applyBorder="1"/>
    <xf numFmtId="0" fontId="0" fillId="6" borderId="28" xfId="0" applyFont="1" applyFill="1" applyBorder="1"/>
    <xf numFmtId="0" fontId="0" fillId="6" borderId="29" xfId="0" applyFont="1" applyFill="1" applyBorder="1"/>
    <xf numFmtId="0" fontId="0" fillId="17" borderId="24" xfId="0" applyFont="1" applyFill="1" applyBorder="1"/>
    <xf numFmtId="0" fontId="0" fillId="17" borderId="25" xfId="0" applyFont="1" applyFill="1" applyBorder="1"/>
    <xf numFmtId="0" fontId="0" fillId="17" borderId="4" xfId="0" applyFont="1" applyFill="1" applyBorder="1"/>
    <xf numFmtId="0" fontId="0" fillId="17" borderId="19" xfId="0" applyFont="1" applyFill="1" applyBorder="1"/>
    <xf numFmtId="0" fontId="0" fillId="17" borderId="0" xfId="0" applyFont="1" applyFill="1" applyBorder="1"/>
    <xf numFmtId="0" fontId="0" fillId="17" borderId="26" xfId="0" applyFont="1" applyFill="1" applyBorder="1"/>
    <xf numFmtId="0" fontId="0" fillId="17" borderId="0" xfId="0" applyFont="1" applyFill="1" applyBorder="1" applyAlignment="1">
      <alignment horizontal="left" vertical="center"/>
    </xf>
    <xf numFmtId="0" fontId="0" fillId="17" borderId="0" xfId="0" applyFont="1" applyFill="1" applyBorder="1" applyAlignment="1">
      <alignment horizontal="left" vertical="center" wrapText="1"/>
    </xf>
    <xf numFmtId="0" fontId="0" fillId="17" borderId="27" xfId="0" applyFont="1" applyFill="1" applyBorder="1"/>
    <xf numFmtId="0" fontId="0" fillId="17" borderId="28" xfId="0" applyFont="1" applyFill="1" applyBorder="1"/>
    <xf numFmtId="0" fontId="0" fillId="17" borderId="29" xfId="0" applyFont="1" applyFill="1" applyBorder="1"/>
    <xf numFmtId="0" fontId="0" fillId="7" borderId="24" xfId="0" applyFont="1" applyFill="1" applyBorder="1"/>
    <xf numFmtId="0" fontId="0" fillId="7" borderId="25" xfId="0" applyFont="1" applyFill="1" applyBorder="1"/>
    <xf numFmtId="0" fontId="0" fillId="7" borderId="4" xfId="0" applyFont="1" applyFill="1" applyBorder="1"/>
    <xf numFmtId="0" fontId="0" fillId="7" borderId="19" xfId="0" applyFont="1" applyFill="1" applyBorder="1"/>
    <xf numFmtId="0" fontId="0" fillId="7" borderId="0" xfId="0" applyFont="1" applyFill="1" applyBorder="1"/>
    <xf numFmtId="0" fontId="0" fillId="7" borderId="26" xfId="0" applyFont="1" applyFill="1" applyBorder="1"/>
    <xf numFmtId="0" fontId="0" fillId="7" borderId="0" xfId="0" applyFont="1" applyFill="1" applyBorder="1" applyAlignment="1">
      <alignment horizontal="left" vertical="center"/>
    </xf>
    <xf numFmtId="0" fontId="0" fillId="7" borderId="0" xfId="0" applyFont="1" applyFill="1" applyBorder="1" applyAlignment="1">
      <alignment horizontal="left" vertical="center" wrapText="1"/>
    </xf>
    <xf numFmtId="0" fontId="0" fillId="7" borderId="27" xfId="0" applyFont="1" applyFill="1" applyBorder="1"/>
    <xf numFmtId="0" fontId="0" fillId="7" borderId="28" xfId="0" applyFont="1" applyFill="1" applyBorder="1"/>
    <xf numFmtId="0" fontId="0" fillId="7" borderId="29" xfId="0" applyFont="1" applyFill="1" applyBorder="1"/>
    <xf numFmtId="0" fontId="14" fillId="0" borderId="0" xfId="0" applyFont="1" applyFill="1"/>
    <xf numFmtId="0" fontId="14" fillId="0" borderId="0" xfId="0" applyFont="1" applyFill="1" applyAlignment="1">
      <alignment horizontal="center" vertical="center"/>
    </xf>
    <xf numFmtId="0" fontId="5" fillId="0" borderId="16" xfId="1" applyFont="1" applyFill="1" applyBorder="1" applyAlignment="1">
      <alignment horizontal="left" vertical="center" wrapText="1"/>
    </xf>
    <xf numFmtId="0" fontId="14" fillId="18" borderId="0" xfId="0" applyFont="1" applyFill="1" applyAlignment="1">
      <alignment horizontal="center" vertical="center"/>
    </xf>
    <xf numFmtId="0" fontId="14" fillId="18" borderId="0" xfId="0" applyFont="1" applyFill="1"/>
    <xf numFmtId="0" fontId="0" fillId="18" borderId="0" xfId="0" applyFill="1"/>
    <xf numFmtId="0" fontId="2" fillId="18" borderId="0" xfId="0" applyFont="1" applyFill="1" applyBorder="1" applyAlignment="1">
      <alignment horizontal="center" vertical="center" wrapText="1"/>
    </xf>
    <xf numFmtId="0" fontId="0" fillId="18" borderId="2" xfId="0" applyFill="1" applyBorder="1"/>
    <xf numFmtId="0" fontId="0" fillId="18" borderId="2" xfId="0" applyFill="1" applyBorder="1" applyAlignment="1">
      <alignment horizontal="center" vertical="center" wrapText="1"/>
    </xf>
    <xf numFmtId="0" fontId="14" fillId="18" borderId="2" xfId="0" applyFont="1" applyFill="1" applyBorder="1"/>
    <xf numFmtId="0" fontId="0" fillId="18" borderId="13" xfId="0" applyFill="1" applyBorder="1" applyAlignment="1">
      <alignment horizontal="center" vertical="center" wrapText="1"/>
    </xf>
    <xf numFmtId="0" fontId="25" fillId="33" borderId="24" xfId="0" applyFont="1" applyFill="1" applyBorder="1"/>
    <xf numFmtId="0" fontId="2" fillId="33" borderId="10" xfId="0" applyFont="1" applyFill="1" applyBorder="1"/>
    <xf numFmtId="0" fontId="5" fillId="0" borderId="42" xfId="1" applyFont="1" applyBorder="1" applyAlignment="1">
      <alignment horizontal="left" vertical="center" wrapText="1"/>
    </xf>
    <xf numFmtId="0" fontId="5" fillId="0" borderId="28" xfId="1" applyFont="1" applyBorder="1" applyAlignment="1">
      <alignment horizontal="left" vertical="center" wrapText="1"/>
    </xf>
    <xf numFmtId="0" fontId="14" fillId="0" borderId="28" xfId="0" applyFont="1" applyBorder="1"/>
    <xf numFmtId="0" fontId="5" fillId="0" borderId="28" xfId="1" applyFont="1" applyBorder="1" applyAlignment="1">
      <alignment horizontal="center" vertical="center" wrapText="1"/>
    </xf>
    <xf numFmtId="0" fontId="5" fillId="0" borderId="28" xfId="1" applyFont="1" applyFill="1" applyBorder="1" applyAlignment="1">
      <alignment horizontal="center" vertical="center" wrapText="1"/>
    </xf>
    <xf numFmtId="0" fontId="0" fillId="15" borderId="28" xfId="0" applyFill="1" applyBorder="1"/>
    <xf numFmtId="0" fontId="5" fillId="0" borderId="28" xfId="1" applyFont="1" applyBorder="1" applyAlignment="1">
      <alignment horizontal="left" vertical="center"/>
    </xf>
    <xf numFmtId="2" fontId="5" fillId="0" borderId="28" xfId="1" applyNumberFormat="1" applyFont="1" applyBorder="1" applyAlignment="1">
      <alignment horizontal="center" vertical="center" wrapText="1"/>
    </xf>
    <xf numFmtId="2" fontId="5" fillId="4" borderId="43" xfId="1" applyNumberFormat="1" applyFont="1" applyFill="1" applyBorder="1" applyAlignment="1">
      <alignment horizontal="center" vertical="center" wrapText="1"/>
    </xf>
    <xf numFmtId="0" fontId="0" fillId="21" borderId="13" xfId="0" applyFill="1" applyBorder="1" applyAlignment="1">
      <alignment horizontal="center" vertical="center" wrapText="1"/>
    </xf>
    <xf numFmtId="0" fontId="24" fillId="0" borderId="0" xfId="0" applyFont="1"/>
    <xf numFmtId="0" fontId="0" fillId="30" borderId="24" xfId="0" applyFont="1" applyFill="1" applyBorder="1"/>
    <xf numFmtId="0" fontId="0" fillId="30" borderId="25" xfId="0" applyFont="1" applyFill="1" applyBorder="1"/>
    <xf numFmtId="0" fontId="0" fillId="30" borderId="19" xfId="0" applyFont="1" applyFill="1" applyBorder="1"/>
    <xf numFmtId="0" fontId="0" fillId="30" borderId="0" xfId="0" applyFont="1" applyFill="1" applyBorder="1"/>
    <xf numFmtId="0" fontId="0" fillId="30" borderId="0" xfId="0" applyFont="1" applyFill="1" applyBorder="1" applyAlignment="1">
      <alignment horizontal="left"/>
    </xf>
    <xf numFmtId="0" fontId="15" fillId="30" borderId="0" xfId="0" applyFont="1" applyFill="1" applyBorder="1" applyAlignment="1">
      <alignment horizontal="left" indent="1"/>
    </xf>
    <xf numFmtId="0" fontId="0" fillId="30" borderId="27" xfId="0" applyFont="1" applyFill="1" applyBorder="1"/>
    <xf numFmtId="0" fontId="0" fillId="30" borderId="28" xfId="0" applyFont="1" applyFill="1" applyBorder="1"/>
    <xf numFmtId="0" fontId="0" fillId="30" borderId="4" xfId="0" applyFont="1" applyFill="1" applyBorder="1"/>
    <xf numFmtId="0" fontId="0" fillId="30" borderId="26" xfId="0" applyFont="1" applyFill="1" applyBorder="1"/>
    <xf numFmtId="0" fontId="0" fillId="30" borderId="28" xfId="0" applyFont="1" applyFill="1" applyBorder="1" applyAlignment="1">
      <alignment horizontal="right"/>
    </xf>
    <xf numFmtId="0" fontId="0" fillId="30" borderId="29" xfId="0" applyFont="1" applyFill="1" applyBorder="1"/>
    <xf numFmtId="0" fontId="0" fillId="5" borderId="24" xfId="0" applyFont="1" applyFill="1" applyBorder="1"/>
    <xf numFmtId="0" fontId="0" fillId="5" borderId="25" xfId="0" applyFont="1" applyFill="1" applyBorder="1"/>
    <xf numFmtId="0" fontId="0" fillId="5" borderId="19" xfId="0" applyFont="1" applyFill="1" applyBorder="1"/>
    <xf numFmtId="0" fontId="0" fillId="5" borderId="0" xfId="0" applyFont="1" applyFill="1" applyBorder="1"/>
    <xf numFmtId="0" fontId="0" fillId="5" borderId="0" xfId="0" applyFont="1" applyFill="1" applyBorder="1" applyAlignment="1">
      <alignment horizontal="left" vertical="center"/>
    </xf>
    <xf numFmtId="0" fontId="0" fillId="5" borderId="0" xfId="0" applyFont="1" applyFill="1" applyBorder="1" applyAlignment="1">
      <alignment horizontal="left" vertical="center" wrapText="1"/>
    </xf>
    <xf numFmtId="0" fontId="0" fillId="5" borderId="27" xfId="0" applyFont="1" applyFill="1" applyBorder="1"/>
    <xf numFmtId="0" fontId="0" fillId="5" borderId="28" xfId="0" applyFont="1" applyFill="1" applyBorder="1"/>
    <xf numFmtId="0" fontId="0" fillId="5" borderId="4" xfId="0" applyFont="1" applyFill="1" applyBorder="1"/>
    <xf numFmtId="0" fontId="0" fillId="5" borderId="26" xfId="0" applyFont="1" applyFill="1" applyBorder="1"/>
    <xf numFmtId="0" fontId="0" fillId="5" borderId="29" xfId="0" applyFont="1" applyFill="1" applyBorder="1"/>
    <xf numFmtId="0" fontId="13" fillId="12" borderId="0" xfId="0" applyFont="1" applyFill="1" applyBorder="1"/>
    <xf numFmtId="0" fontId="13" fillId="16" borderId="0" xfId="0" applyFont="1" applyFill="1" applyBorder="1"/>
    <xf numFmtId="0" fontId="13" fillId="3" borderId="0" xfId="0" applyFont="1" applyFill="1" applyBorder="1"/>
    <xf numFmtId="0" fontId="13" fillId="6" borderId="0" xfId="0" applyFont="1" applyFill="1" applyBorder="1"/>
    <xf numFmtId="0" fontId="13" fillId="17" borderId="0" xfId="0" applyFont="1" applyFill="1" applyBorder="1"/>
    <xf numFmtId="0" fontId="13" fillId="5" borderId="0" xfId="0" applyFont="1" applyFill="1" applyBorder="1"/>
    <xf numFmtId="0" fontId="13" fillId="7" borderId="0" xfId="0" applyFont="1" applyFill="1" applyBorder="1"/>
    <xf numFmtId="0" fontId="0" fillId="15" borderId="32" xfId="0" applyFill="1" applyBorder="1" applyAlignment="1">
      <alignment horizontal="left" vertical="center"/>
    </xf>
    <xf numFmtId="0" fontId="0" fillId="12" borderId="45" xfId="0" applyFill="1" applyBorder="1" applyAlignment="1">
      <alignment horizontal="left" vertical="center"/>
    </xf>
    <xf numFmtId="0" fontId="0" fillId="12" borderId="46" xfId="0" applyFill="1" applyBorder="1" applyAlignment="1">
      <alignment horizontal="left" vertical="center" wrapText="1"/>
    </xf>
    <xf numFmtId="0" fontId="0" fillId="15" borderId="46" xfId="0" applyFill="1" applyBorder="1" applyAlignment="1">
      <alignment horizontal="left" vertical="center" wrapText="1"/>
    </xf>
    <xf numFmtId="0" fontId="0" fillId="13" borderId="46" xfId="0" applyFill="1" applyBorder="1" applyAlignment="1">
      <alignment horizontal="center" vertical="center"/>
    </xf>
    <xf numFmtId="0" fontId="17" fillId="31" borderId="46" xfId="4" applyBorder="1">
      <alignment horizontal="right"/>
      <protection locked="0"/>
    </xf>
    <xf numFmtId="0" fontId="0" fillId="38" borderId="46" xfId="0" applyFill="1" applyBorder="1" applyAlignment="1">
      <alignment horizontal="center" vertical="center"/>
    </xf>
    <xf numFmtId="0" fontId="0" fillId="20" borderId="47" xfId="0" applyFill="1" applyBorder="1" applyAlignment="1">
      <alignment horizontal="left" vertical="center"/>
    </xf>
    <xf numFmtId="0" fontId="0" fillId="12" borderId="47" xfId="0" applyFill="1" applyBorder="1" applyAlignment="1">
      <alignment horizontal="left" vertical="center"/>
    </xf>
    <xf numFmtId="0" fontId="13" fillId="12" borderId="47" xfId="0" applyFont="1" applyFill="1" applyBorder="1" applyAlignment="1">
      <alignment horizontal="left" vertical="center"/>
    </xf>
    <xf numFmtId="0" fontId="0" fillId="5" borderId="47" xfId="0" applyFill="1" applyBorder="1" applyAlignment="1">
      <alignment horizontal="left" vertical="center"/>
    </xf>
    <xf numFmtId="0" fontId="0" fillId="15" borderId="47" xfId="0" applyFill="1" applyBorder="1" applyAlignment="1">
      <alignment horizontal="left" vertical="center" wrapText="1"/>
    </xf>
    <xf numFmtId="0" fontId="0" fillId="16" borderId="47" xfId="0" applyFill="1" applyBorder="1" applyAlignment="1">
      <alignment horizontal="left" vertical="center" wrapText="1"/>
    </xf>
    <xf numFmtId="0" fontId="13" fillId="16" borderId="47" xfId="0" applyFont="1" applyFill="1" applyBorder="1" applyAlignment="1">
      <alignment horizontal="left" vertical="center" wrapText="1"/>
    </xf>
    <xf numFmtId="0" fontId="0" fillId="3" borderId="47" xfId="0" applyFill="1" applyBorder="1" applyAlignment="1">
      <alignment horizontal="left" vertical="center" wrapText="1"/>
    </xf>
    <xf numFmtId="0" fontId="0" fillId="6" borderId="47" xfId="0" applyFill="1" applyBorder="1" applyAlignment="1">
      <alignment horizontal="left" vertical="center" wrapText="1"/>
    </xf>
    <xf numFmtId="0" fontId="13" fillId="6" borderId="47" xfId="0" applyFont="1" applyFill="1" applyBorder="1" applyAlignment="1">
      <alignment horizontal="left" vertical="center" wrapText="1"/>
    </xf>
    <xf numFmtId="0" fontId="0" fillId="8" borderId="47" xfId="0" applyFill="1" applyBorder="1" applyAlignment="1">
      <alignment horizontal="left" vertical="center" wrapText="1"/>
    </xf>
    <xf numFmtId="0" fontId="13" fillId="8" borderId="47" xfId="0" applyFont="1" applyFill="1" applyBorder="1" applyAlignment="1">
      <alignment horizontal="left" vertical="center" wrapText="1"/>
    </xf>
    <xf numFmtId="0" fontId="0" fillId="17" borderId="47" xfId="0" applyFill="1" applyBorder="1" applyAlignment="1">
      <alignment horizontal="left" vertical="center" wrapText="1"/>
    </xf>
    <xf numFmtId="0" fontId="13" fillId="17" borderId="47" xfId="0" applyFont="1" applyFill="1" applyBorder="1" applyAlignment="1">
      <alignment horizontal="left" vertical="center" wrapText="1"/>
    </xf>
    <xf numFmtId="0" fontId="0" fillId="5" borderId="47" xfId="0" applyFill="1" applyBorder="1" applyAlignment="1">
      <alignment horizontal="left" vertical="center" wrapText="1"/>
    </xf>
    <xf numFmtId="0" fontId="0" fillId="5" borderId="48" xfId="0" applyFill="1" applyBorder="1" applyAlignment="1">
      <alignment horizontal="left" vertical="center" wrapText="1"/>
    </xf>
    <xf numFmtId="0" fontId="0" fillId="19" borderId="49" xfId="0" applyFill="1" applyBorder="1" applyAlignment="1">
      <alignment horizontal="left" vertical="center" wrapText="1"/>
    </xf>
    <xf numFmtId="0" fontId="0" fillId="15" borderId="49" xfId="0" applyFill="1" applyBorder="1" applyAlignment="1">
      <alignment horizontal="left" vertical="center" wrapText="1"/>
    </xf>
    <xf numFmtId="0" fontId="17" fillId="31" borderId="49" xfId="4" applyBorder="1">
      <alignment horizontal="right"/>
      <protection locked="0"/>
    </xf>
    <xf numFmtId="0" fontId="0" fillId="38" borderId="49" xfId="0" applyFill="1" applyBorder="1" applyAlignment="1">
      <alignment horizontal="center" vertical="center"/>
    </xf>
    <xf numFmtId="0" fontId="19" fillId="32" borderId="51" xfId="6" applyBorder="1" applyAlignment="1">
      <alignment horizontal="center" vertical="center"/>
    </xf>
    <xf numFmtId="0" fontId="0" fillId="15" borderId="50" xfId="0" applyFill="1" applyBorder="1"/>
    <xf numFmtId="1" fontId="14" fillId="0" borderId="50" xfId="0" applyNumberFormat="1" applyFont="1" applyFill="1" applyBorder="1" applyAlignment="1">
      <alignment horizontal="right"/>
    </xf>
    <xf numFmtId="9" fontId="12" fillId="22" borderId="50" xfId="2" applyNumberFormat="1" applyBorder="1" applyAlignment="1">
      <alignment horizontal="right"/>
    </xf>
    <xf numFmtId="2" fontId="12" fillId="22" borderId="50" xfId="2" applyNumberFormat="1" applyBorder="1"/>
    <xf numFmtId="1" fontId="12" fillId="22" borderId="50" xfId="2" applyNumberFormat="1" applyBorder="1" applyAlignment="1">
      <alignment horizontal="right"/>
    </xf>
    <xf numFmtId="0" fontId="14" fillId="0" borderId="50" xfId="0" applyFont="1" applyBorder="1"/>
    <xf numFmtId="2" fontId="14" fillId="0" borderId="50" xfId="0" applyNumberFormat="1" applyFont="1" applyBorder="1"/>
    <xf numFmtId="0" fontId="19" fillId="32" borderId="52" xfId="6" applyBorder="1" applyAlignment="1">
      <alignment horizontal="center" vertical="center"/>
    </xf>
    <xf numFmtId="0" fontId="0" fillId="15" borderId="18" xfId="0" applyFill="1" applyBorder="1"/>
    <xf numFmtId="1" fontId="14" fillId="0" borderId="18" xfId="0" applyNumberFormat="1" applyFont="1" applyFill="1" applyBorder="1" applyAlignment="1">
      <alignment horizontal="right"/>
    </xf>
    <xf numFmtId="9" fontId="12" fillId="22" borderId="18" xfId="2" applyNumberFormat="1" applyBorder="1" applyAlignment="1">
      <alignment horizontal="right"/>
    </xf>
    <xf numFmtId="2" fontId="12" fillId="22" borderId="18" xfId="2" applyNumberFormat="1" applyBorder="1"/>
    <xf numFmtId="1" fontId="12" fillId="22" borderId="18" xfId="2" applyNumberFormat="1" applyBorder="1" applyAlignment="1">
      <alignment horizontal="right"/>
    </xf>
    <xf numFmtId="0" fontId="14" fillId="0" borderId="18" xfId="0" applyFont="1" applyBorder="1"/>
    <xf numFmtId="0" fontId="14" fillId="20" borderId="18" xfId="0" applyFont="1" applyFill="1" applyBorder="1"/>
    <xf numFmtId="2" fontId="14" fillId="20" borderId="18" xfId="0" applyNumberFormat="1" applyFont="1" applyFill="1" applyBorder="1"/>
    <xf numFmtId="2" fontId="14" fillId="0" borderId="18" xfId="0" applyNumberFormat="1" applyFont="1" applyBorder="1"/>
    <xf numFmtId="0" fontId="21" fillId="0" borderId="18" xfId="0" applyFont="1" applyBorder="1"/>
    <xf numFmtId="2" fontId="21" fillId="0" borderId="18" xfId="0" applyNumberFormat="1" applyFont="1" applyBorder="1"/>
    <xf numFmtId="0" fontId="14" fillId="5" borderId="18" xfId="0" applyFont="1" applyFill="1" applyBorder="1"/>
    <xf numFmtId="2" fontId="14" fillId="5" borderId="18" xfId="0" applyNumberFormat="1" applyFont="1" applyFill="1" applyBorder="1"/>
    <xf numFmtId="0" fontId="19" fillId="32" borderId="54" xfId="6" applyBorder="1" applyAlignment="1">
      <alignment horizontal="center" vertical="center"/>
    </xf>
    <xf numFmtId="0" fontId="0" fillId="15" borderId="53" xfId="0" applyFill="1" applyBorder="1"/>
    <xf numFmtId="1" fontId="14" fillId="0" borderId="53" xfId="0" applyNumberFormat="1" applyFont="1" applyFill="1" applyBorder="1" applyAlignment="1">
      <alignment horizontal="right"/>
    </xf>
    <xf numFmtId="9" fontId="12" fillId="22" borderId="53" xfId="2" applyNumberFormat="1" applyBorder="1" applyAlignment="1">
      <alignment horizontal="right"/>
    </xf>
    <xf numFmtId="2" fontId="12" fillId="22" borderId="53" xfId="2" applyNumberFormat="1" applyBorder="1"/>
    <xf numFmtId="1" fontId="12" fillId="22" borderId="53" xfId="2" applyNumberFormat="1" applyBorder="1" applyAlignment="1">
      <alignment horizontal="right"/>
    </xf>
    <xf numFmtId="0" fontId="14" fillId="0" borderId="53" xfId="0" applyFont="1" applyBorder="1"/>
    <xf numFmtId="2" fontId="14" fillId="0" borderId="53" xfId="0" applyNumberFormat="1" applyFont="1" applyBorder="1"/>
    <xf numFmtId="0" fontId="0" fillId="0" borderId="0" xfId="0" quotePrefix="1"/>
    <xf numFmtId="0" fontId="20" fillId="4" borderId="16" xfId="0" applyFont="1" applyFill="1" applyBorder="1" applyAlignment="1">
      <alignment horizontal="center" vertical="center" wrapText="1"/>
    </xf>
    <xf numFmtId="9" fontId="22" fillId="4" borderId="43" xfId="5" applyFont="1" applyFill="1" applyBorder="1" applyAlignment="1">
      <alignment horizontal="center" vertical="center" wrapText="1"/>
    </xf>
    <xf numFmtId="165" fontId="17" fillId="31" borderId="30" xfId="5" applyNumberFormat="1" applyFill="1" applyBorder="1" applyAlignment="1" applyProtection="1">
      <alignment horizontal="right"/>
      <protection locked="0"/>
    </xf>
    <xf numFmtId="165" fontId="15" fillId="0" borderId="0" xfId="5" applyNumberFormat="1" applyFont="1" applyFill="1" applyBorder="1"/>
    <xf numFmtId="165" fontId="15" fillId="0" borderId="0" xfId="5" applyNumberFormat="1" applyFont="1"/>
    <xf numFmtId="0" fontId="26" fillId="13" borderId="25" xfId="0" applyFont="1" applyFill="1" applyBorder="1"/>
    <xf numFmtId="0" fontId="26" fillId="13" borderId="4" xfId="0" applyFont="1" applyFill="1" applyBorder="1"/>
    <xf numFmtId="0" fontId="26" fillId="13" borderId="0" xfId="0" applyFont="1" applyFill="1" applyBorder="1"/>
    <xf numFmtId="0" fontId="26" fillId="13" borderId="26" xfId="0" applyFont="1" applyFill="1" applyBorder="1"/>
    <xf numFmtId="0" fontId="26" fillId="13" borderId="28" xfId="0" applyFont="1" applyFill="1" applyBorder="1"/>
    <xf numFmtId="0" fontId="26" fillId="13" borderId="29" xfId="0" applyFont="1" applyFill="1" applyBorder="1"/>
    <xf numFmtId="9" fontId="26" fillId="13" borderId="0" xfId="5" applyFont="1" applyFill="1" applyBorder="1" applyAlignment="1">
      <alignment horizontal="center" vertical="center" wrapText="1"/>
    </xf>
    <xf numFmtId="0" fontId="26" fillId="15" borderId="0" xfId="0" applyFont="1" applyFill="1" applyBorder="1"/>
    <xf numFmtId="0" fontId="26" fillId="15" borderId="0" xfId="0" applyFont="1" applyFill="1" applyBorder="1" applyAlignment="1">
      <alignment horizontal="center" vertical="center" wrapText="1"/>
    </xf>
    <xf numFmtId="9" fontId="26" fillId="15" borderId="0" xfId="5" applyFont="1" applyFill="1" applyBorder="1" applyAlignment="1">
      <alignment horizontal="center" vertical="center" wrapText="1"/>
    </xf>
    <xf numFmtId="0" fontId="0" fillId="13" borderId="0" xfId="0" applyFill="1" applyBorder="1"/>
    <xf numFmtId="9" fontId="30" fillId="13" borderId="0" xfId="5" applyFont="1" applyFill="1" applyBorder="1"/>
    <xf numFmtId="0" fontId="0" fillId="13" borderId="24" xfId="0" applyFill="1" applyBorder="1"/>
    <xf numFmtId="0" fontId="0" fillId="13" borderId="25" xfId="0" applyFill="1" applyBorder="1"/>
    <xf numFmtId="0" fontId="0" fillId="13" borderId="4" xfId="0" applyFill="1" applyBorder="1"/>
    <xf numFmtId="0" fontId="0" fillId="13" borderId="19" xfId="0" applyFill="1" applyBorder="1"/>
    <xf numFmtId="0" fontId="0" fillId="13" borderId="26" xfId="0" applyFill="1" applyBorder="1"/>
    <xf numFmtId="0" fontId="0" fillId="13" borderId="27" xfId="0" applyFill="1" applyBorder="1"/>
    <xf numFmtId="0" fontId="0" fillId="13" borderId="28" xfId="0" applyFill="1" applyBorder="1"/>
    <xf numFmtId="0" fontId="0" fillId="13" borderId="29" xfId="0" applyFill="1" applyBorder="1"/>
    <xf numFmtId="0" fontId="26" fillId="15" borderId="0" xfId="0" applyFont="1" applyFill="1" applyBorder="1" applyAlignment="1">
      <alignment horizontal="right"/>
    </xf>
    <xf numFmtId="9" fontId="27" fillId="13" borderId="0" xfId="5" applyFont="1" applyFill="1" applyBorder="1" applyAlignment="1">
      <alignment horizontal="right"/>
    </xf>
    <xf numFmtId="9" fontId="28" fillId="13" borderId="0" xfId="5" applyFont="1" applyFill="1" applyBorder="1" applyAlignment="1">
      <alignment horizontal="right" vertical="center" wrapText="1"/>
    </xf>
    <xf numFmtId="9" fontId="26" fillId="13" borderId="28" xfId="5" applyFont="1" applyFill="1" applyBorder="1" applyAlignment="1">
      <alignment horizontal="center" vertical="center" wrapText="1"/>
    </xf>
    <xf numFmtId="0" fontId="26" fillId="13" borderId="0" xfId="0" applyFont="1" applyFill="1" applyBorder="1" applyAlignment="1">
      <alignment horizontal="center" vertical="top" wrapText="1"/>
    </xf>
    <xf numFmtId="9" fontId="28" fillId="13" borderId="0" xfId="5" applyFont="1" applyFill="1" applyBorder="1"/>
    <xf numFmtId="9" fontId="26" fillId="13" borderId="0" xfId="5" applyFont="1" applyFill="1" applyBorder="1"/>
    <xf numFmtId="0" fontId="29" fillId="13" borderId="25" xfId="0" applyFont="1" applyFill="1" applyBorder="1"/>
    <xf numFmtId="9" fontId="26" fillId="13" borderId="26" xfId="5" applyFont="1" applyFill="1" applyBorder="1" applyAlignment="1">
      <alignment horizontal="center" vertical="center" wrapText="1"/>
    </xf>
    <xf numFmtId="9" fontId="26" fillId="13" borderId="29" xfId="5" applyFont="1" applyFill="1" applyBorder="1" applyAlignment="1">
      <alignment horizontal="center" vertical="center" wrapText="1"/>
    </xf>
    <xf numFmtId="0" fontId="26" fillId="13" borderId="26" xfId="0" applyFont="1" applyFill="1" applyBorder="1" applyAlignment="1">
      <alignment horizontal="center" vertical="top" wrapText="1"/>
    </xf>
    <xf numFmtId="9" fontId="26" fillId="13" borderId="26" xfId="5" applyFont="1" applyFill="1" applyBorder="1"/>
    <xf numFmtId="0" fontId="31" fillId="13" borderId="0" xfId="0" applyFont="1" applyFill="1" applyBorder="1"/>
    <xf numFmtId="0" fontId="31" fillId="15" borderId="0" xfId="0" applyFont="1" applyFill="1"/>
    <xf numFmtId="0" fontId="27" fillId="30" borderId="0" xfId="0" applyFont="1" applyFill="1" applyBorder="1"/>
    <xf numFmtId="0" fontId="27" fillId="38" borderId="0" xfId="0" applyFont="1" applyFill="1" applyBorder="1"/>
    <xf numFmtId="0" fontId="27" fillId="24" borderId="0" xfId="0" applyFont="1" applyFill="1" applyBorder="1"/>
    <xf numFmtId="0" fontId="27" fillId="12" borderId="0" xfId="0" applyFont="1" applyFill="1" applyBorder="1"/>
    <xf numFmtId="0" fontId="27" fillId="16" borderId="0" xfId="0" applyFont="1" applyFill="1" applyBorder="1"/>
    <xf numFmtId="0" fontId="27" fillId="3" borderId="0" xfId="0" applyFont="1" applyFill="1" applyBorder="1"/>
    <xf numFmtId="0" fontId="27" fillId="6" borderId="0" xfId="0" applyFont="1" applyFill="1" applyBorder="1"/>
    <xf numFmtId="0" fontId="27" fillId="17" borderId="0" xfId="0" applyFont="1" applyFill="1" applyBorder="1"/>
    <xf numFmtId="0" fontId="27" fillId="5" borderId="0" xfId="0" applyFont="1" applyFill="1" applyBorder="1"/>
    <xf numFmtId="0" fontId="27" fillId="7" borderId="0" xfId="0" applyFont="1" applyFill="1" applyBorder="1"/>
    <xf numFmtId="0" fontId="5" fillId="2" borderId="11" xfId="1" applyFont="1" applyFill="1" applyBorder="1" applyAlignment="1">
      <alignment horizontal="center" vertical="center" wrapText="1"/>
    </xf>
    <xf numFmtId="0" fontId="14" fillId="0" borderId="28" xfId="0" applyFont="1" applyBorder="1" applyAlignment="1">
      <alignment horizontal="center" vertical="center"/>
    </xf>
    <xf numFmtId="0" fontId="5" fillId="2" borderId="12" xfId="1" applyFont="1" applyFill="1" applyBorder="1" applyAlignment="1">
      <alignment horizontal="center" vertical="center" wrapText="1"/>
    </xf>
    <xf numFmtId="0" fontId="14" fillId="0" borderId="0" xfId="0" applyNumberFormat="1" applyFont="1"/>
    <xf numFmtId="0" fontId="7" fillId="21" borderId="0" xfId="0" applyFont="1" applyFill="1" applyBorder="1" applyAlignment="1">
      <alignment horizontal="center" vertical="center"/>
    </xf>
    <xf numFmtId="0" fontId="2" fillId="24" borderId="0" xfId="0" applyFont="1" applyFill="1" applyBorder="1" applyAlignment="1">
      <alignment horizontal="center" vertical="center" wrapText="1"/>
    </xf>
    <xf numFmtId="0" fontId="7" fillId="10" borderId="8" xfId="0" applyFont="1" applyFill="1" applyBorder="1" applyAlignment="1">
      <alignment horizontal="left" vertical="center"/>
    </xf>
    <xf numFmtId="0" fontId="7" fillId="10" borderId="18" xfId="0" applyFont="1" applyFill="1" applyBorder="1" applyAlignment="1">
      <alignment horizontal="center" vertical="center"/>
    </xf>
    <xf numFmtId="0" fontId="7" fillId="10" borderId="9" xfId="0" applyFont="1" applyFill="1" applyBorder="1" applyAlignment="1">
      <alignment horizontal="center" vertical="center"/>
    </xf>
    <xf numFmtId="0" fontId="2" fillId="10" borderId="32" xfId="0" applyFont="1" applyFill="1" applyBorder="1" applyAlignment="1">
      <alignment horizontal="center" vertical="center" wrapText="1"/>
    </xf>
    <xf numFmtId="0" fontId="0" fillId="10" borderId="13" xfId="0" applyFill="1" applyBorder="1" applyAlignment="1">
      <alignment horizontal="center" vertical="center" wrapText="1"/>
    </xf>
    <xf numFmtId="9" fontId="0" fillId="0" borderId="3" xfId="5" applyFont="1" applyBorder="1" applyAlignment="1">
      <alignment horizontal="center" vertical="center"/>
    </xf>
    <xf numFmtId="0" fontId="14" fillId="0" borderId="2" xfId="0" applyFont="1" applyBorder="1" applyAlignment="1">
      <alignment horizontal="center" vertical="center"/>
    </xf>
    <xf numFmtId="9" fontId="17" fillId="31" borderId="25" xfId="4" applyNumberFormat="1" applyBorder="1" applyAlignment="1">
      <alignment horizontal="center" vertical="center"/>
      <protection locked="0"/>
    </xf>
    <xf numFmtId="0" fontId="17" fillId="31" borderId="25" xfId="4" applyBorder="1" applyAlignment="1">
      <alignment horizontal="center" vertical="center"/>
      <protection locked="0"/>
    </xf>
    <xf numFmtId="9" fontId="0" fillId="0" borderId="56" xfId="5" applyFont="1" applyBorder="1" applyAlignment="1">
      <alignment horizontal="center" vertical="center"/>
    </xf>
    <xf numFmtId="0" fontId="17" fillId="31" borderId="3" xfId="4" applyBorder="1" applyAlignment="1">
      <alignment horizontal="center" vertical="center"/>
      <protection locked="0"/>
    </xf>
    <xf numFmtId="9" fontId="17" fillId="31" borderId="3" xfId="4" applyNumberFormat="1" applyBorder="1" applyAlignment="1">
      <alignment horizontal="center" vertical="center"/>
      <protection locked="0"/>
    </xf>
    <xf numFmtId="0" fontId="0" fillId="31" borderId="55" xfId="4" applyFont="1" applyBorder="1" applyAlignment="1">
      <alignment horizontal="center" vertical="center"/>
      <protection locked="0"/>
    </xf>
    <xf numFmtId="0" fontId="32" fillId="0" borderId="2" xfId="0" applyFont="1" applyBorder="1" applyAlignment="1">
      <alignment horizontal="center" vertical="center"/>
    </xf>
    <xf numFmtId="9" fontId="13" fillId="0" borderId="56" xfId="5" applyFont="1" applyBorder="1" applyAlignment="1">
      <alignment horizontal="center" vertical="center" wrapText="1"/>
    </xf>
    <xf numFmtId="0" fontId="14" fillId="15" borderId="50" xfId="0" applyFont="1" applyFill="1" applyBorder="1"/>
    <xf numFmtId="0" fontId="14" fillId="15" borderId="18" xfId="0" applyFont="1" applyFill="1" applyBorder="1"/>
    <xf numFmtId="0" fontId="21" fillId="15" borderId="18" xfId="0" applyFont="1" applyFill="1" applyBorder="1"/>
    <xf numFmtId="0" fontId="14" fillId="15" borderId="53" xfId="0" applyFont="1" applyFill="1" applyBorder="1"/>
    <xf numFmtId="0" fontId="33" fillId="0" borderId="0" xfId="0" applyFont="1" applyFill="1" applyBorder="1"/>
    <xf numFmtId="0" fontId="34" fillId="0" borderId="0" xfId="0" applyFont="1" applyFill="1" applyBorder="1"/>
    <xf numFmtId="0" fontId="33" fillId="0" borderId="0" xfId="0" applyFont="1" applyFill="1" applyBorder="1" applyAlignment="1">
      <alignment horizontal="left" vertical="top"/>
    </xf>
    <xf numFmtId="0" fontId="33" fillId="0" borderId="0" xfId="0" applyFont="1" applyFill="1" applyBorder="1" applyAlignment="1">
      <alignment wrapText="1"/>
    </xf>
    <xf numFmtId="0" fontId="35" fillId="40" borderId="30" xfId="4" applyFont="1" applyFill="1" applyBorder="1">
      <alignment horizontal="right"/>
      <protection locked="0"/>
    </xf>
    <xf numFmtId="0" fontId="34" fillId="0" borderId="0" xfId="0" applyFont="1" applyFill="1" applyBorder="1" applyAlignment="1">
      <alignment wrapText="1"/>
    </xf>
    <xf numFmtId="0" fontId="0" fillId="31" borderId="3" xfId="4" applyFont="1" applyBorder="1" applyAlignment="1">
      <alignment horizontal="center" vertical="center"/>
      <protection locked="0"/>
    </xf>
    <xf numFmtId="2" fontId="12" fillId="22" borderId="18" xfId="2" applyNumberFormat="1" applyBorder="1" applyAlignment="1">
      <alignment horizontal="right"/>
    </xf>
    <xf numFmtId="1" fontId="26" fillId="15" borderId="18" xfId="2" applyNumberFormat="1" applyFont="1" applyFill="1" applyBorder="1" applyAlignment="1">
      <alignment horizontal="right"/>
    </xf>
    <xf numFmtId="0" fontId="12" fillId="15" borderId="18" xfId="2" applyFill="1" applyBorder="1"/>
    <xf numFmtId="0" fontId="12" fillId="15" borderId="53" xfId="2" applyFill="1" applyBorder="1"/>
    <xf numFmtId="0" fontId="14" fillId="15" borderId="0" xfId="0" applyFont="1" applyFill="1"/>
    <xf numFmtId="0" fontId="12" fillId="15" borderId="50" xfId="2" applyFill="1" applyBorder="1"/>
    <xf numFmtId="2" fontId="12" fillId="15" borderId="50" xfId="2" applyNumberFormat="1" applyFill="1" applyBorder="1"/>
    <xf numFmtId="2" fontId="12" fillId="15" borderId="18" xfId="2" applyNumberFormat="1" applyFill="1" applyBorder="1" applyAlignment="1">
      <alignment horizontal="right"/>
    </xf>
    <xf numFmtId="1" fontId="26" fillId="15" borderId="50" xfId="2" applyNumberFormat="1" applyFont="1" applyFill="1" applyBorder="1" applyAlignment="1">
      <alignment horizontal="right"/>
    </xf>
    <xf numFmtId="0" fontId="26" fillId="2" borderId="3" xfId="0" applyFont="1" applyFill="1" applyBorder="1" applyAlignment="1">
      <alignment horizontal="left" vertical="center" wrapText="1"/>
    </xf>
    <xf numFmtId="0" fontId="0" fillId="0" borderId="0" xfId="0" applyAlignment="1"/>
    <xf numFmtId="0" fontId="36" fillId="2" borderId="3" xfId="0" applyFont="1" applyFill="1" applyBorder="1" applyAlignment="1">
      <alignment horizontal="left" vertical="center" wrapText="1"/>
    </xf>
    <xf numFmtId="0" fontId="0" fillId="41" borderId="3" xfId="0" applyFill="1" applyBorder="1" applyAlignment="1">
      <alignment horizontal="left" vertical="center" wrapText="1"/>
    </xf>
    <xf numFmtId="0" fontId="0" fillId="24" borderId="0" xfId="0" applyFill="1"/>
    <xf numFmtId="0" fontId="0" fillId="34" borderId="0" xfId="0" applyFill="1"/>
    <xf numFmtId="0" fontId="0" fillId="15" borderId="0" xfId="0" applyNumberFormat="1" applyFill="1"/>
    <xf numFmtId="0" fontId="0" fillId="15" borderId="0" xfId="0" applyNumberFormat="1" applyFont="1" applyFill="1"/>
    <xf numFmtId="0" fontId="0" fillId="9" borderId="24" xfId="0" applyFill="1" applyBorder="1"/>
    <xf numFmtId="0" fontId="26" fillId="9" borderId="25" xfId="0" applyFont="1" applyFill="1" applyBorder="1"/>
    <xf numFmtId="0" fontId="26" fillId="9" borderId="25" xfId="0" applyNumberFormat="1" applyFont="1" applyFill="1" applyBorder="1"/>
    <xf numFmtId="0" fontId="26" fillId="9" borderId="4" xfId="0" applyFont="1" applyFill="1" applyBorder="1"/>
    <xf numFmtId="0" fontId="0" fillId="9" borderId="19" xfId="0" applyFill="1" applyBorder="1"/>
    <xf numFmtId="0" fontId="10" fillId="9" borderId="0" xfId="0" applyFont="1" applyFill="1" applyBorder="1"/>
    <xf numFmtId="0" fontId="2" fillId="9" borderId="0" xfId="5" applyNumberFormat="1" applyFont="1" applyFill="1" applyBorder="1"/>
    <xf numFmtId="0" fontId="0" fillId="9" borderId="0" xfId="0" applyFill="1" applyBorder="1"/>
    <xf numFmtId="0" fontId="0" fillId="9" borderId="26" xfId="0" applyFill="1" applyBorder="1"/>
    <xf numFmtId="0" fontId="2" fillId="9" borderId="0" xfId="0" applyFont="1" applyFill="1" applyBorder="1"/>
    <xf numFmtId="0" fontId="0" fillId="9" borderId="0" xfId="0" applyFont="1" applyFill="1" applyBorder="1"/>
    <xf numFmtId="0" fontId="2" fillId="9" borderId="0" xfId="5" applyNumberFormat="1" applyFont="1" applyFill="1" applyBorder="1" applyAlignment="1">
      <alignment horizontal="left"/>
    </xf>
    <xf numFmtId="0" fontId="26" fillId="9" borderId="50" xfId="2" applyNumberFormat="1" applyFont="1" applyFill="1" applyBorder="1" applyAlignment="1">
      <alignment horizontal="center" vertical="center" wrapText="1"/>
    </xf>
    <xf numFmtId="166" fontId="26" fillId="9" borderId="50" xfId="2" applyNumberFormat="1" applyFont="1" applyFill="1" applyBorder="1" applyAlignment="1">
      <alignment horizontal="right"/>
    </xf>
    <xf numFmtId="9" fontId="0" fillId="9" borderId="0" xfId="5" applyFont="1" applyFill="1" applyBorder="1"/>
    <xf numFmtId="9" fontId="2" fillId="9" borderId="0" xfId="5" applyNumberFormat="1" applyFont="1" applyFill="1" applyBorder="1" applyAlignment="1">
      <alignment horizontal="left"/>
    </xf>
    <xf numFmtId="0" fontId="15" fillId="9" borderId="0" xfId="0" applyFont="1" applyFill="1" applyBorder="1" applyAlignment="1">
      <alignment horizontal="left" wrapText="1"/>
    </xf>
    <xf numFmtId="0" fontId="15" fillId="9" borderId="0" xfId="0" applyNumberFormat="1" applyFont="1" applyFill="1" applyBorder="1" applyAlignment="1">
      <alignment horizontal="left" wrapText="1"/>
    </xf>
    <xf numFmtId="0" fontId="0" fillId="9" borderId="0" xfId="0" applyFont="1" applyFill="1" applyBorder="1" applyAlignment="1">
      <alignment vertical="top" wrapText="1"/>
    </xf>
    <xf numFmtId="0" fontId="17" fillId="31" borderId="30" xfId="4" applyNumberFormat="1" applyAlignment="1">
      <alignment horizontal="right" wrapText="1"/>
      <protection locked="0"/>
    </xf>
    <xf numFmtId="0" fontId="0" fillId="9" borderId="0" xfId="0" applyFill="1" applyAlignment="1">
      <alignment vertical="top"/>
    </xf>
    <xf numFmtId="0" fontId="0" fillId="9" borderId="0" xfId="0" applyFill="1"/>
    <xf numFmtId="0" fontId="0" fillId="9" borderId="0" xfId="0" applyFont="1" applyFill="1" applyBorder="1" applyAlignment="1">
      <alignment vertical="top"/>
    </xf>
    <xf numFmtId="0" fontId="0" fillId="9" borderId="0" xfId="0" applyFont="1" applyFill="1" applyBorder="1" applyAlignment="1">
      <alignment horizontal="left" vertical="top" wrapText="1"/>
    </xf>
    <xf numFmtId="0" fontId="0" fillId="31" borderId="30" xfId="4" applyNumberFormat="1" applyFont="1" applyAlignment="1">
      <alignment horizontal="left" vertical="top" wrapText="1"/>
      <protection locked="0"/>
    </xf>
    <xf numFmtId="0" fontId="0" fillId="9" borderId="27" xfId="0" applyFill="1" applyBorder="1"/>
    <xf numFmtId="0" fontId="0" fillId="9" borderId="28" xfId="0" applyFill="1" applyBorder="1"/>
    <xf numFmtId="0" fontId="0" fillId="9" borderId="28" xfId="0" applyNumberFormat="1" applyFill="1" applyBorder="1" applyAlignment="1">
      <alignment horizontal="left"/>
    </xf>
    <xf numFmtId="0" fontId="0" fillId="9" borderId="29" xfId="0" applyFill="1" applyBorder="1"/>
    <xf numFmtId="0" fontId="0" fillId="0" borderId="0" xfId="0" applyNumberFormat="1"/>
    <xf numFmtId="165" fontId="37" fillId="31" borderId="30" xfId="3" applyNumberFormat="1" applyFont="1" applyAlignment="1" applyProtection="1">
      <alignment horizontal="right"/>
    </xf>
    <xf numFmtId="0" fontId="0" fillId="0" borderId="0" xfId="0" applyFont="1" applyAlignment="1">
      <alignment horizontal="left" vertical="top"/>
    </xf>
    <xf numFmtId="0" fontId="13" fillId="15" borderId="0" xfId="0" applyFont="1" applyFill="1"/>
    <xf numFmtId="0" fontId="7" fillId="2" borderId="17" xfId="0" applyFont="1" applyFill="1" applyBorder="1" applyAlignment="1" applyProtection="1">
      <alignment vertical="center"/>
    </xf>
    <xf numFmtId="0" fontId="9" fillId="2" borderId="17" xfId="0" applyFont="1" applyFill="1" applyBorder="1" applyAlignment="1" applyProtection="1">
      <alignment horizontal="left" vertical="center" wrapText="1"/>
    </xf>
    <xf numFmtId="0" fontId="10" fillId="2" borderId="17" xfId="0" applyFont="1" applyFill="1" applyBorder="1" applyProtection="1"/>
    <xf numFmtId="0" fontId="10" fillId="2" borderId="17" xfId="0" applyFont="1" applyFill="1" applyBorder="1" applyAlignment="1" applyProtection="1">
      <alignment wrapText="1"/>
    </xf>
    <xf numFmtId="0" fontId="0" fillId="15" borderId="0" xfId="0" applyFill="1" applyProtection="1"/>
    <xf numFmtId="0" fontId="0" fillId="15" borderId="0" xfId="0" applyFill="1" applyAlignment="1" applyProtection="1">
      <alignment wrapText="1"/>
    </xf>
    <xf numFmtId="0" fontId="0" fillId="14" borderId="10" xfId="0" applyFill="1" applyBorder="1" applyAlignment="1" applyProtection="1">
      <alignment horizontal="center" vertical="center"/>
    </xf>
    <xf numFmtId="0" fontId="0" fillId="14" borderId="4" xfId="0" applyFill="1" applyBorder="1" applyAlignment="1" applyProtection="1">
      <alignment horizontal="left" vertical="center"/>
    </xf>
    <xf numFmtId="0" fontId="0" fillId="0" borderId="0" xfId="0" applyProtection="1"/>
    <xf numFmtId="0" fontId="11" fillId="15" borderId="0" xfId="0" applyFont="1" applyFill="1" applyProtection="1"/>
    <xf numFmtId="0" fontId="3" fillId="8" borderId="16" xfId="0" applyFont="1" applyFill="1" applyBorder="1" applyAlignment="1" applyProtection="1">
      <alignment horizontal="center" vertical="center"/>
    </xf>
    <xf numFmtId="0" fontId="1" fillId="8" borderId="16" xfId="0" applyFont="1" applyFill="1" applyBorder="1" applyAlignment="1" applyProtection="1">
      <alignment horizontal="left" vertical="center" wrapText="1"/>
    </xf>
    <xf numFmtId="0" fontId="0" fillId="14" borderId="19" xfId="0" applyFill="1" applyBorder="1" applyAlignment="1" applyProtection="1">
      <alignment vertical="center" wrapText="1"/>
    </xf>
    <xf numFmtId="0" fontId="0" fillId="20" borderId="0" xfId="0" applyFill="1" applyBorder="1" applyAlignment="1" applyProtection="1">
      <alignment horizontal="center" vertical="center"/>
    </xf>
    <xf numFmtId="0" fontId="0" fillId="14" borderId="0" xfId="0" applyFill="1" applyAlignment="1" applyProtection="1">
      <alignment vertical="center" wrapText="1"/>
    </xf>
    <xf numFmtId="0" fontId="0" fillId="14" borderId="0" xfId="0" applyFill="1" applyAlignment="1" applyProtection="1">
      <alignment vertical="center"/>
    </xf>
    <xf numFmtId="0" fontId="0" fillId="15" borderId="0" xfId="0" applyFill="1" applyBorder="1" applyProtection="1"/>
    <xf numFmtId="0" fontId="0" fillId="15" borderId="0" xfId="0" applyFill="1" applyBorder="1" applyAlignment="1" applyProtection="1">
      <alignment wrapText="1"/>
    </xf>
    <xf numFmtId="0" fontId="0" fillId="21" borderId="7" xfId="0" applyFill="1" applyBorder="1" applyAlignment="1" applyProtection="1">
      <alignment horizontal="center" vertical="center" wrapText="1"/>
    </xf>
    <xf numFmtId="0" fontId="2" fillId="11" borderId="7" xfId="0" applyFont="1" applyFill="1" applyBorder="1" applyAlignment="1" applyProtection="1">
      <alignment horizontal="center" vertical="center" wrapText="1"/>
    </xf>
    <xf numFmtId="0" fontId="0" fillId="13" borderId="5" xfId="0" applyFill="1" applyBorder="1" applyAlignment="1" applyProtection="1">
      <alignment horizontal="center" vertical="center"/>
    </xf>
    <xf numFmtId="0" fontId="0" fillId="13" borderId="6" xfId="0" applyFill="1" applyBorder="1" applyAlignment="1" applyProtection="1">
      <alignment horizontal="left" vertical="center" wrapText="1"/>
    </xf>
    <xf numFmtId="0" fontId="8" fillId="31" borderId="30" xfId="7" applyProtection="1">
      <alignment horizontal="center"/>
    </xf>
    <xf numFmtId="0" fontId="0" fillId="11" borderId="5" xfId="0" applyFont="1" applyFill="1" applyBorder="1" applyAlignment="1" applyProtection="1">
      <alignment horizontal="center" vertical="center" wrapText="1"/>
    </xf>
    <xf numFmtId="0" fontId="0" fillId="10" borderId="5" xfId="0" applyFill="1" applyBorder="1" applyAlignment="1" applyProtection="1">
      <alignment horizontal="center" vertical="center"/>
    </xf>
    <xf numFmtId="0" fontId="0" fillId="12" borderId="5" xfId="0" applyFill="1" applyBorder="1" applyAlignment="1" applyProtection="1">
      <alignment horizontal="center" vertical="center" wrapText="1"/>
    </xf>
    <xf numFmtId="0" fontId="0" fillId="0" borderId="0" xfId="0" applyAlignment="1" applyProtection="1">
      <alignment vertical="center"/>
    </xf>
    <xf numFmtId="0" fontId="0" fillId="15" borderId="0" xfId="0" applyFill="1" applyAlignment="1" applyProtection="1">
      <alignment vertical="center"/>
    </xf>
    <xf numFmtId="0" fontId="0" fillId="13" borderId="3" xfId="0" applyFill="1" applyBorder="1" applyAlignment="1" applyProtection="1">
      <alignment horizontal="center" vertical="center"/>
    </xf>
    <xf numFmtId="0" fontId="0" fillId="13" borderId="8" xfId="0" applyFill="1" applyBorder="1" applyAlignment="1" applyProtection="1">
      <alignment horizontal="left" vertical="center" wrapText="1"/>
    </xf>
    <xf numFmtId="0" fontId="8" fillId="31" borderId="30" xfId="7" quotePrefix="1" applyProtection="1">
      <alignment horizontal="center"/>
    </xf>
    <xf numFmtId="0" fontId="0" fillId="15" borderId="0" xfId="0" applyFill="1" applyAlignment="1" applyProtection="1">
      <alignment vertical="center" wrapText="1"/>
    </xf>
    <xf numFmtId="0" fontId="0" fillId="9" borderId="0" xfId="0" applyFill="1" applyAlignment="1" applyProtection="1">
      <alignment horizontal="right" vertical="center"/>
    </xf>
    <xf numFmtId="0" fontId="0" fillId="0" borderId="11" xfId="0"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4" xfId="0" applyBorder="1" applyAlignment="1" applyProtection="1">
      <alignment horizontal="center" vertical="center"/>
    </xf>
    <xf numFmtId="0" fontId="1" fillId="8" borderId="2" xfId="0" applyFont="1" applyFill="1" applyBorder="1" applyAlignment="1" applyProtection="1">
      <alignment horizontal="left" vertical="center" wrapText="1"/>
    </xf>
    <xf numFmtId="0" fontId="8" fillId="0" borderId="5" xfId="0" applyFont="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3" xfId="0" applyBorder="1" applyAlignment="1" applyProtection="1">
      <alignment horizontal="center" vertical="center"/>
    </xf>
    <xf numFmtId="0" fontId="0" fillId="0" borderId="20" xfId="0" applyBorder="1" applyAlignment="1" applyProtection="1">
      <alignment horizontal="center" vertical="center"/>
    </xf>
    <xf numFmtId="0" fontId="8" fillId="2" borderId="30" xfId="7" quotePrefix="1" applyFill="1" applyProtection="1">
      <alignment horizontal="center"/>
    </xf>
    <xf numFmtId="0" fontId="0" fillId="0" borderId="0" xfId="0" applyFill="1" applyBorder="1" applyAlignment="1" applyProtection="1">
      <alignment vertical="center"/>
    </xf>
    <xf numFmtId="0" fontId="0" fillId="0" borderId="0" xfId="0" applyFill="1" applyBorder="1" applyProtection="1"/>
    <xf numFmtId="0" fontId="0" fillId="2" borderId="8" xfId="0" applyFill="1" applyBorder="1" applyAlignment="1" applyProtection="1">
      <alignment horizontal="left" vertical="center" wrapText="1"/>
    </xf>
    <xf numFmtId="0" fontId="0" fillId="0" borderId="0" xfId="0" applyAlignment="1" applyProtection="1">
      <alignment wrapText="1"/>
    </xf>
    <xf numFmtId="0" fontId="8" fillId="0" borderId="5" xfId="0" quotePrefix="1" applyFont="1" applyBorder="1" applyAlignment="1" applyProtection="1">
      <alignment horizontal="center" vertical="center" wrapText="1"/>
    </xf>
    <xf numFmtId="0" fontId="8" fillId="2" borderId="30" xfId="7" applyFill="1" applyProtection="1">
      <alignment horizontal="center"/>
    </xf>
    <xf numFmtId="0" fontId="0" fillId="8" borderId="5" xfId="0" applyFont="1" applyFill="1" applyBorder="1" applyAlignment="1" applyProtection="1">
      <alignment horizontal="center" vertical="center" wrapText="1"/>
    </xf>
    <xf numFmtId="0" fontId="0" fillId="8" borderId="5" xfId="0" applyFill="1" applyBorder="1" applyAlignment="1" applyProtection="1">
      <alignment horizontal="center" vertical="center"/>
    </xf>
    <xf numFmtId="0" fontId="0" fillId="8" borderId="11" xfId="0" applyFill="1" applyBorder="1" applyAlignment="1" applyProtection="1">
      <alignment horizontal="center" vertical="center" wrapText="1"/>
    </xf>
    <xf numFmtId="0" fontId="0" fillId="12" borderId="5" xfId="0" applyFill="1" applyBorder="1" applyAlignment="1" applyProtection="1">
      <alignment horizontal="center" vertical="center"/>
    </xf>
    <xf numFmtId="49" fontId="0" fillId="11" borderId="5" xfId="0" applyNumberFormat="1" applyFont="1" applyFill="1" applyBorder="1" applyAlignment="1" applyProtection="1">
      <alignment horizontal="center" vertical="center" wrapText="1"/>
    </xf>
    <xf numFmtId="49" fontId="0" fillId="10" borderId="5" xfId="0" applyNumberFormat="1" applyFill="1" applyBorder="1" applyAlignment="1" applyProtection="1">
      <alignment horizontal="center" vertical="center"/>
    </xf>
    <xf numFmtId="49" fontId="0" fillId="12" borderId="5" xfId="0" applyNumberFormat="1" applyFill="1" applyBorder="1" applyAlignment="1" applyProtection="1">
      <alignment horizontal="center" vertical="center"/>
    </xf>
    <xf numFmtId="0" fontId="8" fillId="2" borderId="5" xfId="0" applyFont="1" applyFill="1" applyBorder="1" applyAlignment="1" applyProtection="1">
      <alignment horizontal="center" vertical="center" wrapText="1"/>
    </xf>
    <xf numFmtId="0" fontId="8" fillId="2" borderId="5" xfId="0" quotePrefix="1" applyFont="1" applyFill="1" applyBorder="1" applyAlignment="1" applyProtection="1">
      <alignment horizontal="center" vertical="center" wrapText="1"/>
    </xf>
    <xf numFmtId="49" fontId="8" fillId="2" borderId="5" xfId="0" applyNumberFormat="1" applyFont="1" applyFill="1" applyBorder="1" applyAlignment="1" applyProtection="1">
      <alignment horizontal="center" vertical="center" wrapText="1"/>
    </xf>
    <xf numFmtId="0" fontId="2" fillId="2" borderId="0" xfId="0" applyFont="1" applyFill="1" applyAlignment="1">
      <alignment horizontal="left" vertical="center" wrapText="1"/>
    </xf>
    <xf numFmtId="0" fontId="33" fillId="0" borderId="0" xfId="0" applyFont="1" applyFill="1" applyBorder="1" applyAlignment="1">
      <alignment horizontal="left" vertical="top" wrapText="1"/>
    </xf>
    <xf numFmtId="0" fontId="33" fillId="0" borderId="0" xfId="0" applyFont="1" applyFill="1" applyBorder="1" applyAlignment="1">
      <alignment horizontal="left" wrapText="1"/>
    </xf>
    <xf numFmtId="0" fontId="34" fillId="0" borderId="0" xfId="0" applyFont="1" applyFill="1" applyBorder="1" applyAlignment="1">
      <alignment horizontal="left" wrapText="1"/>
    </xf>
    <xf numFmtId="0" fontId="0" fillId="0" borderId="0" xfId="0" applyFont="1" applyAlignment="1">
      <alignment horizontal="left" vertical="top" wrapText="1"/>
    </xf>
    <xf numFmtId="0" fontId="0" fillId="38" borderId="0" xfId="0" applyFont="1" applyFill="1" applyBorder="1" applyAlignment="1">
      <alignment horizontal="left" wrapText="1"/>
    </xf>
    <xf numFmtId="0" fontId="0" fillId="31" borderId="35" xfId="3" applyFont="1" applyBorder="1" applyAlignment="1" applyProtection="1">
      <alignment horizontal="right" vertical="top"/>
      <protection locked="0"/>
    </xf>
    <xf numFmtId="0" fontId="0" fillId="31" borderId="37" xfId="3" applyFont="1" applyBorder="1" applyAlignment="1" applyProtection="1">
      <alignment horizontal="right" vertical="top"/>
      <protection locked="0"/>
    </xf>
    <xf numFmtId="0" fontId="0" fillId="31" borderId="36" xfId="3" applyFont="1" applyBorder="1" applyAlignment="1" applyProtection="1">
      <alignment horizontal="right" vertical="top"/>
      <protection locked="0"/>
    </xf>
    <xf numFmtId="0" fontId="17" fillId="31" borderId="30" xfId="4" applyAlignment="1">
      <alignment horizontal="right" wrapText="1"/>
      <protection locked="0"/>
    </xf>
    <xf numFmtId="0" fontId="17" fillId="31" borderId="30" xfId="4">
      <alignment horizontal="right"/>
      <protection locked="0"/>
    </xf>
    <xf numFmtId="0" fontId="15" fillId="38" borderId="0" xfId="0" applyFont="1" applyFill="1" applyBorder="1" applyAlignment="1">
      <alignment horizontal="right"/>
    </xf>
    <xf numFmtId="0" fontId="21" fillId="38" borderId="44" xfId="0" applyFont="1" applyFill="1" applyBorder="1" applyAlignment="1">
      <alignment horizontal="right" wrapText="1"/>
    </xf>
    <xf numFmtId="0" fontId="39" fillId="31" borderId="30" xfId="8" applyFill="1" applyBorder="1" applyAlignment="1" applyProtection="1">
      <alignment horizontal="right"/>
      <protection locked="0"/>
    </xf>
    <xf numFmtId="0" fontId="17" fillId="31" borderId="30" xfId="4" applyBorder="1">
      <alignment horizontal="right"/>
      <protection locked="0"/>
    </xf>
    <xf numFmtId="0" fontId="0" fillId="31" borderId="30" xfId="4" applyFont="1" applyBorder="1">
      <alignment horizontal="right"/>
      <protection locked="0"/>
    </xf>
    <xf numFmtId="0" fontId="0" fillId="31" borderId="35" xfId="3" applyFont="1" applyBorder="1" applyAlignment="1" applyProtection="1">
      <alignment horizontal="right"/>
      <protection locked="0"/>
    </xf>
    <xf numFmtId="0" fontId="0" fillId="31" borderId="37" xfId="3" applyFont="1" applyBorder="1" applyAlignment="1" applyProtection="1">
      <alignment horizontal="right"/>
      <protection locked="0"/>
    </xf>
    <xf numFmtId="0" fontId="17" fillId="31" borderId="35" xfId="4" applyBorder="1" applyAlignment="1">
      <alignment horizontal="right"/>
      <protection locked="0"/>
    </xf>
    <xf numFmtId="0" fontId="17" fillId="31" borderId="37" xfId="4" applyBorder="1" applyAlignment="1">
      <alignment horizontal="right"/>
      <protection locked="0"/>
    </xf>
    <xf numFmtId="0" fontId="17" fillId="31" borderId="36" xfId="4" applyBorder="1" applyAlignment="1">
      <alignment horizontal="right"/>
      <protection locked="0"/>
    </xf>
    <xf numFmtId="0" fontId="0" fillId="31" borderId="57" xfId="3" applyFont="1" applyBorder="1" applyAlignment="1" applyProtection="1">
      <alignment horizontal="right"/>
      <protection locked="0"/>
    </xf>
    <xf numFmtId="0" fontId="0" fillId="31" borderId="44" xfId="3" applyFont="1" applyBorder="1" applyAlignment="1" applyProtection="1">
      <alignment horizontal="right"/>
      <protection locked="0"/>
    </xf>
    <xf numFmtId="0" fontId="1" fillId="21" borderId="8" xfId="0" applyFont="1" applyFill="1" applyBorder="1" applyAlignment="1">
      <alignment horizontal="center" vertical="center" wrapText="1"/>
    </xf>
    <xf numFmtId="0" fontId="1" fillId="21" borderId="18" xfId="0" applyFont="1" applyFill="1" applyBorder="1" applyAlignment="1">
      <alignment horizontal="center" vertical="center" wrapText="1"/>
    </xf>
    <xf numFmtId="0" fontId="1" fillId="21" borderId="9" xfId="0" applyFont="1" applyFill="1" applyBorder="1" applyAlignment="1">
      <alignment horizontal="center" vertical="center" wrapText="1"/>
    </xf>
    <xf numFmtId="0" fontId="7" fillId="39" borderId="21" xfId="0" applyFont="1" applyFill="1" applyBorder="1" applyAlignment="1">
      <alignment horizontal="center" vertical="center"/>
    </xf>
    <xf numFmtId="0" fontId="7" fillId="39" borderId="39" xfId="0" applyFont="1" applyFill="1" applyBorder="1" applyAlignment="1">
      <alignment horizontal="center" vertical="center"/>
    </xf>
    <xf numFmtId="0" fontId="7" fillId="39" borderId="22" xfId="0" applyFont="1" applyFill="1" applyBorder="1" applyAlignment="1">
      <alignment horizontal="center" vertical="center"/>
    </xf>
    <xf numFmtId="0" fontId="7" fillId="39" borderId="40" xfId="0" applyFont="1" applyFill="1" applyBorder="1" applyAlignment="1">
      <alignment horizontal="center" vertical="center"/>
    </xf>
    <xf numFmtId="0" fontId="7" fillId="39" borderId="28" xfId="0" applyFont="1" applyFill="1" applyBorder="1" applyAlignment="1">
      <alignment horizontal="center" vertical="center"/>
    </xf>
    <xf numFmtId="0" fontId="7" fillId="39" borderId="41" xfId="0" applyFont="1" applyFill="1" applyBorder="1" applyAlignment="1">
      <alignment horizontal="center" vertical="center"/>
    </xf>
    <xf numFmtId="0" fontId="15" fillId="9" borderId="0" xfId="0" applyFont="1" applyFill="1" applyBorder="1" applyAlignment="1">
      <alignment horizontal="left" wrapText="1"/>
    </xf>
    <xf numFmtId="0" fontId="2" fillId="10" borderId="3" xfId="0" applyFont="1" applyFill="1" applyBorder="1" applyAlignment="1" applyProtection="1">
      <alignment horizontal="center" vertical="center" wrapText="1"/>
    </xf>
    <xf numFmtId="0" fontId="2" fillId="10" borderId="7" xfId="0" applyFont="1" applyFill="1" applyBorder="1" applyAlignment="1" applyProtection="1">
      <alignment horizontal="center" vertical="center" wrapText="1"/>
    </xf>
    <xf numFmtId="0" fontId="2" fillId="12" borderId="3" xfId="0" applyFont="1" applyFill="1" applyBorder="1" applyAlignment="1" applyProtection="1">
      <alignment horizontal="center" vertical="center" wrapText="1"/>
    </xf>
    <xf numFmtId="0" fontId="2" fillId="12" borderId="7" xfId="0" applyFont="1" applyFill="1" applyBorder="1" applyAlignment="1" applyProtection="1">
      <alignment horizontal="center" vertical="center" wrapText="1"/>
    </xf>
    <xf numFmtId="0" fontId="2" fillId="11" borderId="21" xfId="0" applyFont="1" applyFill="1" applyBorder="1" applyAlignment="1" applyProtection="1">
      <alignment horizontal="center" vertical="center" wrapText="1"/>
    </xf>
    <xf numFmtId="0" fontId="2" fillId="11" borderId="22"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21" borderId="3" xfId="0" applyFont="1" applyFill="1" applyBorder="1" applyAlignment="1" applyProtection="1">
      <alignment horizontal="center" wrapText="1"/>
    </xf>
    <xf numFmtId="0" fontId="0" fillId="20" borderId="0" xfId="0" applyFill="1" applyBorder="1" applyAlignment="1" applyProtection="1">
      <alignment horizontal="center" vertical="center"/>
    </xf>
    <xf numFmtId="0" fontId="2" fillId="21" borderId="8" xfId="0" applyFont="1" applyFill="1" applyBorder="1" applyAlignment="1" applyProtection="1">
      <alignment horizontal="center" wrapText="1"/>
    </xf>
    <xf numFmtId="0" fontId="2" fillId="21" borderId="18" xfId="0" applyFont="1" applyFill="1" applyBorder="1" applyAlignment="1" applyProtection="1">
      <alignment horizontal="center" wrapText="1"/>
    </xf>
    <xf numFmtId="0" fontId="2" fillId="21" borderId="9" xfId="0" applyFont="1" applyFill="1" applyBorder="1" applyAlignment="1" applyProtection="1">
      <alignment horizontal="center" wrapText="1"/>
    </xf>
    <xf numFmtId="0" fontId="2" fillId="11" borderId="21" xfId="0" applyFont="1" applyFill="1" applyBorder="1" applyAlignment="1">
      <alignment horizontal="center" vertical="center" wrapText="1"/>
    </xf>
    <xf numFmtId="0" fontId="2" fillId="11" borderId="22" xfId="0" applyFont="1" applyFill="1" applyBorder="1" applyAlignment="1">
      <alignment horizontal="center" vertical="center" wrapText="1"/>
    </xf>
    <xf numFmtId="0" fontId="0" fillId="20" borderId="0" xfId="0" applyFill="1" applyBorder="1" applyAlignment="1">
      <alignment horizontal="center" vertical="center"/>
    </xf>
    <xf numFmtId="0" fontId="2" fillId="21" borderId="3" xfId="0" applyFont="1" applyFill="1" applyBorder="1" applyAlignment="1">
      <alignment horizontal="center" wrapText="1"/>
    </xf>
    <xf numFmtId="0" fontId="2" fillId="12" borderId="3" xfId="0" applyFont="1" applyFill="1" applyBorder="1" applyAlignment="1">
      <alignment horizontal="center" vertical="center" wrapText="1"/>
    </xf>
    <xf numFmtId="0" fontId="2" fillId="12" borderId="7"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2" fillId="10" borderId="7"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cellXfs>
  <cellStyles count="9">
    <cellStyle name="Bemærk!" xfId="3" builtinId="10"/>
    <cellStyle name="Beregning" xfId="6" builtinId="22"/>
    <cellStyle name="input field" xfId="4" xr:uid="{00000000-0005-0000-0000-000004000000}"/>
    <cellStyle name="input ordinal" xfId="7" xr:uid="{00000000-0005-0000-0000-000005000000}"/>
    <cellStyle name="Link" xfId="8" builtinId="8"/>
    <cellStyle name="Normal" xfId="0" builtinId="0"/>
    <cellStyle name="Overskrift 3" xfId="1" builtinId="18"/>
    <cellStyle name="Procent" xfId="5" builtinId="5"/>
    <cellStyle name="Ugyldig" xfId="2" builtinId="27"/>
  </cellStyles>
  <dxfs count="924">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1"/>
      </font>
    </dxf>
    <dxf>
      <font>
        <color theme="1"/>
      </font>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1"/>
      </font>
    </dxf>
    <dxf>
      <font>
        <color theme="1"/>
      </font>
    </dxf>
    <dxf>
      <font>
        <color theme="1"/>
      </font>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1"/>
      </font>
    </dxf>
    <dxf>
      <font>
        <color theme="1"/>
      </font>
    </dxf>
    <dxf>
      <font>
        <color theme="1"/>
      </font>
    </dxf>
    <dxf>
      <font>
        <color theme="1"/>
      </font>
    </dxf>
    <dxf>
      <font>
        <color theme="1"/>
      </font>
    </dxf>
    <dxf>
      <font>
        <color theme="1"/>
      </font>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1"/>
      </font>
    </dxf>
    <dxf>
      <font>
        <color theme="1"/>
      </font>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1"/>
      </font>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1"/>
      </font>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1"/>
      </font>
    </dxf>
    <dxf>
      <font>
        <color theme="1"/>
      </font>
    </dxf>
    <dxf>
      <font>
        <color theme="1"/>
      </font>
    </dxf>
    <dxf>
      <font>
        <color theme="1"/>
      </font>
    </dxf>
    <dxf>
      <font>
        <color theme="1"/>
      </font>
    </dxf>
    <dxf>
      <font>
        <color theme="1"/>
      </font>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1"/>
      </font>
    </dxf>
    <dxf>
      <font>
        <color theme="1"/>
      </font>
    </dxf>
    <dxf>
      <font>
        <color theme="1"/>
      </font>
    </dxf>
    <dxf>
      <font>
        <color theme="1"/>
      </font>
    </dxf>
    <dxf>
      <font>
        <color theme="1"/>
      </font>
    </dxf>
    <dxf>
      <font>
        <color theme="1"/>
      </font>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1"/>
      </font>
    </dxf>
    <dxf>
      <font>
        <color theme="1"/>
      </font>
    </dxf>
    <dxf>
      <font>
        <color theme="1"/>
      </font>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0" tint="-0.14996795556505021"/>
      </font>
      <fill>
        <patternFill>
          <bgColor theme="0" tint="-4.9989318521683403E-2"/>
        </patternFill>
      </fill>
    </dxf>
    <dxf>
      <font>
        <color rgb="FF9C0006"/>
      </font>
      <fill>
        <patternFill>
          <bgColor rgb="FFFFC7CE"/>
        </patternFill>
      </fill>
    </dxf>
    <dxf>
      <font>
        <b val="0"/>
        <i/>
      </font>
      <fill>
        <patternFill>
          <bgColor theme="0" tint="-0.24994659260841701"/>
        </patternFill>
      </fill>
    </dxf>
    <dxf>
      <font>
        <color theme="0" tint="-0.14996795556505021"/>
      </font>
      <fill>
        <patternFill>
          <bgColor theme="0" tint="-0.14996795556505021"/>
        </patternFill>
      </fill>
    </dxf>
    <dxf>
      <font>
        <b val="0"/>
        <i/>
      </font>
      <fill>
        <patternFill>
          <bgColor theme="0" tint="-0.24994659260841701"/>
        </patternFill>
      </fill>
    </dxf>
    <dxf>
      <font>
        <b/>
        <i val="0"/>
        <color auto="1"/>
      </font>
      <fill>
        <patternFill>
          <bgColor rgb="FFFFFFCC"/>
        </patternFill>
      </fill>
      <border>
        <left style="thin">
          <color auto="1"/>
        </left>
        <right style="thin">
          <color auto="1"/>
        </right>
        <top style="thin">
          <color auto="1"/>
        </top>
        <bottom style="thin">
          <color auto="1"/>
        </bottom>
      </border>
    </dxf>
    <dxf>
      <font>
        <color rgb="FFFF0000"/>
      </font>
    </dxf>
    <dxf>
      <font>
        <color theme="0" tint="-0.14996795556505021"/>
      </font>
      <fill>
        <patternFill>
          <bgColor theme="0" tint="-0.1499679555650502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ill>
        <patternFill>
          <bgColor theme="5" tint="0.59996337778862885"/>
        </patternFill>
      </fill>
    </dxf>
    <dxf>
      <font>
        <color theme="0" tint="-0.14996795556505021"/>
      </font>
      <fill>
        <patternFill>
          <bgColor theme="0" tint="-0.14996795556505021"/>
        </patternFill>
      </fill>
    </dxf>
    <dxf>
      <font>
        <b val="0"/>
        <i/>
      </font>
      <fill>
        <patternFill>
          <bgColor theme="0" tint="-0.24994659260841701"/>
        </patternFill>
      </fill>
    </dxf>
    <dxf>
      <font>
        <b/>
        <i val="0"/>
        <color auto="1"/>
      </font>
      <fill>
        <patternFill>
          <bgColor rgb="FFFFFFCC"/>
        </patternFill>
      </fill>
      <border>
        <left style="thin">
          <color auto="1"/>
        </left>
        <right style="thin">
          <color auto="1"/>
        </right>
        <top style="thin">
          <color auto="1"/>
        </top>
        <bottom style="thin">
          <color auto="1"/>
        </bottom>
      </border>
    </dxf>
    <dxf>
      <font>
        <color rgb="FFFF0000"/>
      </font>
    </dxf>
    <dxf>
      <font>
        <color rgb="FF9C0006"/>
      </font>
      <fill>
        <patternFill>
          <bgColor rgb="FFFFC7CE"/>
        </patternFill>
      </fill>
    </dxf>
    <dxf>
      <font>
        <b val="0"/>
        <i/>
        <color theme="1" tint="0.499984740745262"/>
      </font>
      <fill>
        <patternFill>
          <bgColor theme="0" tint="-0.14996795556505021"/>
        </patternFill>
      </fill>
    </dxf>
    <dxf>
      <font>
        <color theme="0" tint="-0.14996795556505021"/>
      </font>
      <fill>
        <patternFill>
          <bgColor theme="0" tint="-0.14996795556505021"/>
        </patternFill>
      </fill>
    </dxf>
    <dxf>
      <font>
        <b val="0"/>
        <i/>
      </font>
      <fill>
        <patternFill>
          <bgColor theme="0" tint="-0.24994659260841701"/>
        </patternFill>
      </fill>
    </dxf>
    <dxf>
      <font>
        <b val="0"/>
        <i/>
      </font>
      <fill>
        <patternFill>
          <bgColor theme="0" tint="-0.24994659260841701"/>
        </patternFill>
      </fill>
    </dxf>
    <dxf>
      <font>
        <b val="0"/>
        <i/>
      </font>
      <fill>
        <patternFill>
          <bgColor theme="0" tint="-0.24994659260841701"/>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theme="0" tint="-0.14996795556505021"/>
      </font>
      <fill>
        <patternFill>
          <bgColor theme="0" tint="-0.14996795556505021"/>
        </patternFill>
      </fill>
    </dxf>
    <dxf>
      <font>
        <b val="0"/>
        <i/>
      </font>
      <fill>
        <patternFill>
          <bgColor theme="0" tint="-0.24994659260841701"/>
        </patternFill>
      </fill>
    </dxf>
    <dxf>
      <font>
        <b/>
        <i val="0"/>
        <color auto="1"/>
      </font>
      <fill>
        <patternFill>
          <bgColor rgb="FFFFFFCC"/>
        </patternFill>
      </fill>
      <border>
        <left style="thin">
          <color auto="1"/>
        </left>
        <right style="thin">
          <color auto="1"/>
        </right>
        <top style="thin">
          <color auto="1"/>
        </top>
        <bottom style="thin">
          <color auto="1"/>
        </bottom>
      </border>
    </dxf>
    <dxf>
      <font>
        <color rgb="FFFF0000"/>
      </font>
    </dxf>
    <dxf>
      <font>
        <color rgb="FF9C0006"/>
      </font>
      <fill>
        <patternFill>
          <bgColor rgb="FFFFC7CE"/>
        </patternFill>
      </fill>
    </dxf>
    <dxf>
      <font>
        <b val="0"/>
        <i/>
        <color theme="1" tint="0.499984740745262"/>
      </font>
      <fill>
        <patternFill>
          <bgColor theme="0" tint="-0.14996795556505021"/>
        </patternFill>
      </fill>
    </dxf>
    <dxf>
      <fill>
        <patternFill>
          <bgColor theme="7" tint="0.39994506668294322"/>
        </patternFill>
      </fill>
    </dxf>
    <dxf>
      <fill>
        <patternFill>
          <bgColor theme="7" tint="0.39994506668294322"/>
        </patternFill>
      </fill>
    </dxf>
    <dxf>
      <font>
        <color theme="0" tint="-0.14996795556505021"/>
      </font>
      <fill>
        <patternFill>
          <bgColor theme="0" tint="-0.14996795556505021"/>
        </patternFill>
      </fill>
    </dxf>
    <dxf>
      <font>
        <b val="0"/>
        <i/>
      </font>
      <fill>
        <patternFill>
          <bgColor theme="0" tint="-0.24994659260841701"/>
        </patternFill>
      </fill>
    </dxf>
    <dxf>
      <font>
        <b val="0"/>
        <i/>
      </font>
      <fill>
        <patternFill>
          <bgColor theme="0" tint="-0.24994659260841701"/>
        </patternFill>
      </fill>
    </dxf>
    <dxf>
      <font>
        <color theme="5" tint="0.39994506668294322"/>
      </font>
      <fill>
        <patternFill>
          <bgColor theme="5" tint="0.39994506668294322"/>
        </patternFill>
      </fill>
      <border>
        <left/>
        <right/>
        <top/>
        <bottom/>
        <vertical/>
        <horizontal/>
      </border>
    </dxf>
    <dxf>
      <font>
        <color theme="6" tint="0.39994506668294322"/>
      </font>
      <fill>
        <patternFill>
          <bgColor theme="6" tint="0.39994506668294322"/>
        </patternFill>
      </fill>
      <border>
        <left/>
        <right/>
        <top/>
        <bottom/>
        <vertical/>
        <horizontal/>
      </border>
    </dxf>
    <dxf>
      <font>
        <b val="0"/>
        <i/>
        <color theme="0" tint="-0.24994659260841701"/>
      </font>
    </dxf>
    <dxf>
      <font>
        <b val="0"/>
        <i/>
        <color theme="6" tint="0.39994506668294322"/>
      </font>
      <fill>
        <patternFill>
          <bgColor theme="6" tint="0.39994506668294322"/>
        </patternFill>
      </fill>
      <border>
        <left/>
        <right/>
        <top/>
        <bottom/>
        <vertical/>
        <horizontal/>
      </border>
    </dxf>
    <dxf>
      <font>
        <b val="0"/>
        <i/>
        <color theme="0" tint="-0.24994659260841701"/>
      </font>
    </dxf>
    <dxf>
      <font>
        <b val="0"/>
        <i/>
        <color theme="0" tint="-0.34998626667073579"/>
      </font>
    </dxf>
    <dxf>
      <font>
        <b val="0"/>
        <i/>
        <color theme="0" tint="-0.34998626667073579"/>
      </font>
    </dxf>
    <dxf>
      <font>
        <b val="0"/>
        <i/>
        <color theme="0" tint="-0.34998626667073579"/>
      </font>
    </dxf>
    <dxf>
      <font>
        <color theme="0" tint="-0.34998626667073579"/>
      </font>
      <fill>
        <patternFill>
          <bgColor rgb="FF00B0F0"/>
        </patternFill>
      </fill>
      <border>
        <left/>
        <right/>
        <top/>
        <bottom/>
        <vertical/>
        <horizontal/>
      </border>
    </dxf>
    <dxf>
      <font>
        <b val="0"/>
        <i/>
        <color theme="0" tint="-0.34998626667073579"/>
      </font>
    </dxf>
    <dxf>
      <font>
        <color theme="0" tint="-0.34998626667073579"/>
      </font>
      <fill>
        <patternFill>
          <bgColor theme="8" tint="0.79998168889431442"/>
        </patternFill>
      </fill>
      <border>
        <left/>
        <right/>
        <top/>
        <bottom/>
        <vertical/>
        <horizontal/>
      </border>
    </dxf>
    <dxf>
      <font>
        <b val="0"/>
        <i/>
        <color theme="0" tint="-0.34998626667073579"/>
      </font>
    </dxf>
    <dxf>
      <font>
        <color theme="0" tint="-0.34998626667073579"/>
      </font>
      <fill>
        <patternFill>
          <bgColor theme="2" tint="-0.24994659260841701"/>
        </patternFill>
      </fill>
      <border>
        <left/>
        <right/>
        <top/>
        <bottom/>
        <vertical/>
        <horizontal/>
      </border>
    </dxf>
    <dxf>
      <font>
        <b val="0"/>
        <i/>
        <color theme="0" tint="-0.34998626667073579"/>
      </font>
    </dxf>
    <dxf>
      <font>
        <color theme="0" tint="-0.34998626667073579"/>
      </font>
      <fill>
        <patternFill>
          <bgColor theme="6" tint="0.39994506668294322"/>
        </patternFill>
      </fill>
      <border>
        <left/>
        <right/>
        <top/>
        <bottom/>
        <vertical/>
        <horizontal/>
      </border>
    </dxf>
    <dxf>
      <font>
        <b val="0"/>
        <i/>
        <color theme="0" tint="-0.34998626667073579"/>
      </font>
    </dxf>
    <dxf>
      <font>
        <color theme="0" tint="-0.34998626667073579"/>
      </font>
      <fill>
        <patternFill>
          <bgColor theme="4" tint="0.39994506668294322"/>
        </patternFill>
      </fill>
      <border>
        <left/>
        <right/>
        <top/>
        <bottom/>
        <vertical/>
        <horizontal/>
      </border>
    </dxf>
    <dxf>
      <font>
        <b val="0"/>
        <i/>
        <color theme="0" tint="-0.34998626667073579"/>
      </font>
    </dxf>
    <dxf>
      <font>
        <color theme="0" tint="-0.34998626667073579"/>
      </font>
      <fill>
        <patternFill>
          <bgColor theme="9" tint="0.39994506668294322"/>
        </patternFill>
      </fill>
      <border>
        <left/>
        <right/>
        <top/>
        <bottom/>
        <vertical/>
        <horizontal/>
      </border>
    </dxf>
    <dxf>
      <font>
        <color theme="0" tint="-0.34998626667073579"/>
      </font>
      <fill>
        <patternFill>
          <bgColor theme="5" tint="0.39994506668294322"/>
        </patternFill>
      </fill>
      <border>
        <left/>
        <right/>
        <top/>
        <bottom/>
      </border>
    </dxf>
    <dxf>
      <font>
        <b val="0"/>
        <i/>
        <color theme="0" tint="-0.34998626667073579"/>
      </font>
    </dxf>
    <dxf>
      <font>
        <color auto="1"/>
      </font>
      <fill>
        <patternFill>
          <bgColor theme="7" tint="0.59996337778862885"/>
        </patternFill>
      </fill>
      <border>
        <left/>
        <right/>
        <top/>
        <bottom/>
      </border>
    </dxf>
    <dxf>
      <font>
        <color auto="1"/>
      </font>
      <fill>
        <patternFill>
          <bgColor theme="7" tint="0.59996337778862885"/>
        </patternFill>
      </fill>
      <border>
        <left/>
        <right/>
        <top/>
        <bottom/>
      </border>
    </dxf>
  </dxfs>
  <tableStyles count="0" defaultTableStyle="TableStyleMedium2" defaultPivotStyle="PivotStyleLight16"/>
  <colors>
    <mruColors>
      <color rgb="FFFFFFCC"/>
      <color rgb="FFEC9BFF"/>
      <color rgb="FFD2F6FA"/>
      <color rgb="FFF7ABAB"/>
      <color rgb="FF7EE8DB"/>
      <color rgb="FF8BE7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cat>
            <c:strRef>
              <c:f>Results!$C$13:$C$19</c:f>
              <c:strCache>
                <c:ptCount val="7"/>
                <c:pt idx="0">
                  <c:v>Energy savings on site</c:v>
                </c:pt>
                <c:pt idx="1">
                  <c:v>Flexibility for the grid and storage</c:v>
                </c:pt>
                <c:pt idx="2">
                  <c:v>Comfort</c:v>
                </c:pt>
                <c:pt idx="3">
                  <c:v>Convenience</c:v>
                </c:pt>
                <c:pt idx="4">
                  <c:v>Wellbeing and health</c:v>
                </c:pt>
                <c:pt idx="5">
                  <c:v>Maintenance &amp; fault prediction</c:v>
                </c:pt>
                <c:pt idx="6">
                  <c:v>information to occupants</c:v>
                </c:pt>
              </c:strCache>
            </c:strRef>
          </c:cat>
          <c:val>
            <c:numRef>
              <c:f>Results!$D$13:$D$19</c:f>
              <c:numCache>
                <c:formatCode>General</c:formatCode>
                <c:ptCount val="7"/>
              </c:numCache>
            </c:numRef>
          </c:val>
          <c:extLst>
            <c:ext xmlns:c16="http://schemas.microsoft.com/office/drawing/2014/chart" uri="{C3380CC4-5D6E-409C-BE32-E72D297353CC}">
              <c16:uniqueId val="{0000000A-C969-46E3-AE5B-7E8FC83926DE}"/>
            </c:ext>
          </c:extLst>
        </c:ser>
        <c:ser>
          <c:idx val="4"/>
          <c:order val="1"/>
          <c:invertIfNegative val="0"/>
          <c:cat>
            <c:strRef>
              <c:f>Results!$C$13:$C$19</c:f>
              <c:strCache>
                <c:ptCount val="7"/>
                <c:pt idx="0">
                  <c:v>Energy savings on site</c:v>
                </c:pt>
                <c:pt idx="1">
                  <c:v>Flexibility for the grid and storage</c:v>
                </c:pt>
                <c:pt idx="2">
                  <c:v>Comfort</c:v>
                </c:pt>
                <c:pt idx="3">
                  <c:v>Convenience</c:v>
                </c:pt>
                <c:pt idx="4">
                  <c:v>Wellbeing and health</c:v>
                </c:pt>
                <c:pt idx="5">
                  <c:v>Maintenance &amp; fault prediction</c:v>
                </c:pt>
                <c:pt idx="6">
                  <c:v>information to occupants</c:v>
                </c:pt>
              </c:strCache>
            </c:strRef>
          </c:cat>
          <c:val>
            <c:numRef>
              <c:f>Results!$E$13:$E$19</c:f>
              <c:numCache>
                <c:formatCode>General</c:formatCode>
                <c:ptCount val="7"/>
              </c:numCache>
            </c:numRef>
          </c:val>
          <c:extLst>
            <c:ext xmlns:c16="http://schemas.microsoft.com/office/drawing/2014/chart" uri="{C3380CC4-5D6E-409C-BE32-E72D297353CC}">
              <c16:uniqueId val="{0000000B-C969-46E3-AE5B-7E8FC83926DE}"/>
            </c:ext>
          </c:extLst>
        </c:ser>
        <c:ser>
          <c:idx val="5"/>
          <c:order val="2"/>
          <c:spPr>
            <a:solidFill>
              <a:schemeClr val="accent6">
                <a:lumMod val="75000"/>
              </a:schemeClr>
            </a:solidFill>
          </c:spPr>
          <c:invertIfNegative val="0"/>
          <c:cat>
            <c:strRef>
              <c:f>Results!$C$13:$C$19</c:f>
              <c:strCache>
                <c:ptCount val="7"/>
                <c:pt idx="0">
                  <c:v>Energy savings on site</c:v>
                </c:pt>
                <c:pt idx="1">
                  <c:v>Flexibility for the grid and storage</c:v>
                </c:pt>
                <c:pt idx="2">
                  <c:v>Comfort</c:v>
                </c:pt>
                <c:pt idx="3">
                  <c:v>Convenience</c:v>
                </c:pt>
                <c:pt idx="4">
                  <c:v>Wellbeing and health</c:v>
                </c:pt>
                <c:pt idx="5">
                  <c:v>Maintenance &amp; fault prediction</c:v>
                </c:pt>
                <c:pt idx="6">
                  <c:v>information to occupants</c:v>
                </c:pt>
              </c:strCache>
            </c:strRef>
          </c:cat>
          <c:val>
            <c:numRef>
              <c:f>Results!$F$13:$F$19</c:f>
              <c:numCache>
                <c:formatCode>0%</c:formatCode>
                <c:ptCount val="7"/>
                <c:pt idx="0">
                  <c:v>0.78654470835493551</c:v>
                </c:pt>
                <c:pt idx="1">
                  <c:v>0.50957912947379569</c:v>
                </c:pt>
                <c:pt idx="2">
                  <c:v>0.77528089887640461</c:v>
                </c:pt>
                <c:pt idx="3">
                  <c:v>0.61428571428571399</c:v>
                </c:pt>
                <c:pt idx="4">
                  <c:v>0.82608695652173914</c:v>
                </c:pt>
                <c:pt idx="5">
                  <c:v>0.54796300874577197</c:v>
                </c:pt>
                <c:pt idx="6">
                  <c:v>0.47878787878787882</c:v>
                </c:pt>
              </c:numCache>
            </c:numRef>
          </c:val>
          <c:extLst>
            <c:ext xmlns:c16="http://schemas.microsoft.com/office/drawing/2014/chart" uri="{C3380CC4-5D6E-409C-BE32-E72D297353CC}">
              <c16:uniqueId val="{0000000C-C969-46E3-AE5B-7E8FC83926DE}"/>
            </c:ext>
          </c:extLst>
        </c:ser>
        <c:ser>
          <c:idx val="1"/>
          <c:order val="3"/>
          <c:spPr>
            <a:solidFill>
              <a:schemeClr val="accent2"/>
            </a:solidFill>
            <a:ln>
              <a:noFill/>
            </a:ln>
            <a:effectLst/>
          </c:spPr>
          <c:invertIfNegative val="0"/>
          <c:cat>
            <c:strRef>
              <c:f>Results!$C$13:$C$19</c:f>
              <c:strCache>
                <c:ptCount val="7"/>
                <c:pt idx="0">
                  <c:v>Energy savings on site</c:v>
                </c:pt>
                <c:pt idx="1">
                  <c:v>Flexibility for the grid and storage</c:v>
                </c:pt>
                <c:pt idx="2">
                  <c:v>Comfort</c:v>
                </c:pt>
                <c:pt idx="3">
                  <c:v>Convenience</c:v>
                </c:pt>
                <c:pt idx="4">
                  <c:v>Wellbeing and health</c:v>
                </c:pt>
                <c:pt idx="5">
                  <c:v>Maintenance &amp; fault prediction</c:v>
                </c:pt>
                <c:pt idx="6">
                  <c:v>information to occupants</c:v>
                </c:pt>
              </c:strCache>
            </c:strRef>
          </c:cat>
          <c:val>
            <c:numRef>
              <c:f>Results!$D$13:$D$19</c:f>
              <c:numCache>
                <c:formatCode>General</c:formatCode>
                <c:ptCount val="7"/>
              </c:numCache>
            </c:numRef>
          </c:val>
          <c:extLst>
            <c:ext xmlns:c16="http://schemas.microsoft.com/office/drawing/2014/chart" uri="{C3380CC4-5D6E-409C-BE32-E72D297353CC}">
              <c16:uniqueId val="{00000005-C969-46E3-AE5B-7E8FC83926DE}"/>
            </c:ext>
          </c:extLst>
        </c:ser>
        <c:ser>
          <c:idx val="2"/>
          <c:order val="4"/>
          <c:spPr>
            <a:solidFill>
              <a:schemeClr val="accent3"/>
            </a:solidFill>
            <a:ln>
              <a:noFill/>
            </a:ln>
            <a:effectLst/>
          </c:spPr>
          <c:invertIfNegative val="0"/>
          <c:cat>
            <c:strRef>
              <c:f>Results!$C$13:$C$19</c:f>
              <c:strCache>
                <c:ptCount val="7"/>
                <c:pt idx="0">
                  <c:v>Energy savings on site</c:v>
                </c:pt>
                <c:pt idx="1">
                  <c:v>Flexibility for the grid and storage</c:v>
                </c:pt>
                <c:pt idx="2">
                  <c:v>Comfort</c:v>
                </c:pt>
                <c:pt idx="3">
                  <c:v>Convenience</c:v>
                </c:pt>
                <c:pt idx="4">
                  <c:v>Wellbeing and health</c:v>
                </c:pt>
                <c:pt idx="5">
                  <c:v>Maintenance &amp; fault prediction</c:v>
                </c:pt>
                <c:pt idx="6">
                  <c:v>information to occupants</c:v>
                </c:pt>
              </c:strCache>
            </c:strRef>
          </c:cat>
          <c:val>
            <c:numRef>
              <c:f>Results!$E$13:$E$19</c:f>
              <c:numCache>
                <c:formatCode>General</c:formatCode>
                <c:ptCount val="7"/>
              </c:numCache>
            </c:numRef>
          </c:val>
          <c:extLst>
            <c:ext xmlns:c16="http://schemas.microsoft.com/office/drawing/2014/chart" uri="{C3380CC4-5D6E-409C-BE32-E72D297353CC}">
              <c16:uniqueId val="{00000007-C969-46E3-AE5B-7E8FC83926DE}"/>
            </c:ext>
          </c:extLst>
        </c:ser>
        <c:ser>
          <c:idx val="3"/>
          <c:order val="5"/>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Results!$C$13:$C$19</c:f>
              <c:strCache>
                <c:ptCount val="7"/>
                <c:pt idx="0">
                  <c:v>Energy savings on site</c:v>
                </c:pt>
                <c:pt idx="1">
                  <c:v>Flexibility for the grid and storage</c:v>
                </c:pt>
                <c:pt idx="2">
                  <c:v>Comfort</c:v>
                </c:pt>
                <c:pt idx="3">
                  <c:v>Convenience</c:v>
                </c:pt>
                <c:pt idx="4">
                  <c:v>Wellbeing and health</c:v>
                </c:pt>
                <c:pt idx="5">
                  <c:v>Maintenance &amp; fault prediction</c:v>
                </c:pt>
                <c:pt idx="6">
                  <c:v>information to occupants</c:v>
                </c:pt>
              </c:strCache>
            </c:strRef>
          </c:cat>
          <c:val>
            <c:numRef>
              <c:f>Results!$F$13:$F$19</c:f>
              <c:numCache>
                <c:formatCode>0%</c:formatCode>
                <c:ptCount val="7"/>
                <c:pt idx="0">
                  <c:v>0.78654470835493551</c:v>
                </c:pt>
                <c:pt idx="1">
                  <c:v>0.50957912947379569</c:v>
                </c:pt>
                <c:pt idx="2">
                  <c:v>0.77528089887640461</c:v>
                </c:pt>
                <c:pt idx="3">
                  <c:v>0.61428571428571399</c:v>
                </c:pt>
                <c:pt idx="4">
                  <c:v>0.82608695652173914</c:v>
                </c:pt>
                <c:pt idx="5">
                  <c:v>0.54796300874577197</c:v>
                </c:pt>
                <c:pt idx="6">
                  <c:v>0.47878787878787882</c:v>
                </c:pt>
              </c:numCache>
            </c:numRef>
          </c:val>
          <c:extLst>
            <c:ext xmlns:c16="http://schemas.microsoft.com/office/drawing/2014/chart" uri="{C3380CC4-5D6E-409C-BE32-E72D297353CC}">
              <c16:uniqueId val="{00000009-C969-46E3-AE5B-7E8FC83926DE}"/>
            </c:ext>
          </c:extLst>
        </c:ser>
        <c:dLbls>
          <c:showLegendKey val="0"/>
          <c:showVal val="0"/>
          <c:showCatName val="0"/>
          <c:showSerName val="0"/>
          <c:showPercent val="0"/>
          <c:showBubbleSize val="0"/>
        </c:dLbls>
        <c:gapWidth val="100"/>
        <c:overlap val="100"/>
        <c:axId val="640644632"/>
        <c:axId val="640642008"/>
      </c:barChart>
      <c:catAx>
        <c:axId val="640644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640642008"/>
        <c:crosses val="autoZero"/>
        <c:auto val="1"/>
        <c:lblAlgn val="ctr"/>
        <c:lblOffset val="100"/>
        <c:noMultiLvlLbl val="0"/>
      </c:catAx>
      <c:valAx>
        <c:axId val="640642008"/>
        <c:scaling>
          <c:orientation val="minMax"/>
          <c:max val="1"/>
        </c:scaling>
        <c:delete val="1"/>
        <c:axPos val="l"/>
        <c:numFmt formatCode="General" sourceLinked="1"/>
        <c:majorTickMark val="none"/>
        <c:minorTickMark val="none"/>
        <c:tickLblPos val="nextTo"/>
        <c:crossAx val="640644632"/>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cat>
            <c:strRef>
              <c:f>Results!$C$28:$C$36</c:f>
              <c:strCache>
                <c:ptCount val="9"/>
                <c:pt idx="0">
                  <c:v>Heating system</c:v>
                </c:pt>
                <c:pt idx="1">
                  <c:v>Domestic Hot Water</c:v>
                </c:pt>
                <c:pt idx="2">
                  <c:v>Cooling system</c:v>
                </c:pt>
                <c:pt idx="3">
                  <c:v>Controlled ventilation</c:v>
                </c:pt>
                <c:pt idx="4">
                  <c:v>Lighting</c:v>
                </c:pt>
                <c:pt idx="5">
                  <c:v>Dynamic Envelope</c:v>
                </c:pt>
                <c:pt idx="6">
                  <c:v>Electricity: renewables &amp; storage</c:v>
                </c:pt>
                <c:pt idx="7">
                  <c:v>Electric Vehicle Charging</c:v>
                </c:pt>
                <c:pt idx="8">
                  <c:v>Monitoring &amp; Control</c:v>
                </c:pt>
              </c:strCache>
            </c:strRef>
          </c:cat>
          <c:val>
            <c:numRef>
              <c:f>Results!$D$13:$D$19</c:f>
              <c:numCache>
                <c:formatCode>General</c:formatCode>
                <c:ptCount val="7"/>
              </c:numCache>
            </c:numRef>
          </c:val>
          <c:extLst>
            <c:ext xmlns:c16="http://schemas.microsoft.com/office/drawing/2014/chart" uri="{C3380CC4-5D6E-409C-BE32-E72D297353CC}">
              <c16:uniqueId val="{00000000-9BED-4D12-B580-95DFBB411E3E}"/>
            </c:ext>
          </c:extLst>
        </c:ser>
        <c:ser>
          <c:idx val="4"/>
          <c:order val="1"/>
          <c:invertIfNegative val="0"/>
          <c:cat>
            <c:strRef>
              <c:f>Results!$C$28:$C$36</c:f>
              <c:strCache>
                <c:ptCount val="9"/>
                <c:pt idx="0">
                  <c:v>Heating system</c:v>
                </c:pt>
                <c:pt idx="1">
                  <c:v>Domestic Hot Water</c:v>
                </c:pt>
                <c:pt idx="2">
                  <c:v>Cooling system</c:v>
                </c:pt>
                <c:pt idx="3">
                  <c:v>Controlled ventilation</c:v>
                </c:pt>
                <c:pt idx="4">
                  <c:v>Lighting</c:v>
                </c:pt>
                <c:pt idx="5">
                  <c:v>Dynamic Envelope</c:v>
                </c:pt>
                <c:pt idx="6">
                  <c:v>Electricity: renewables &amp; storage</c:v>
                </c:pt>
                <c:pt idx="7">
                  <c:v>Electric Vehicle Charging</c:v>
                </c:pt>
                <c:pt idx="8">
                  <c:v>Monitoring &amp; Control</c:v>
                </c:pt>
              </c:strCache>
            </c:strRef>
          </c:cat>
          <c:val>
            <c:numRef>
              <c:f>Results!$E$13:$E$19</c:f>
              <c:numCache>
                <c:formatCode>General</c:formatCode>
                <c:ptCount val="7"/>
              </c:numCache>
            </c:numRef>
          </c:val>
          <c:extLst>
            <c:ext xmlns:c16="http://schemas.microsoft.com/office/drawing/2014/chart" uri="{C3380CC4-5D6E-409C-BE32-E72D297353CC}">
              <c16:uniqueId val="{00000001-9BED-4D12-B580-95DFBB411E3E}"/>
            </c:ext>
          </c:extLst>
        </c:ser>
        <c:ser>
          <c:idx val="1"/>
          <c:order val="2"/>
          <c:spPr>
            <a:solidFill>
              <a:schemeClr val="accent2"/>
            </a:solidFill>
            <a:ln>
              <a:noFill/>
            </a:ln>
            <a:effectLst/>
          </c:spPr>
          <c:invertIfNegative val="0"/>
          <c:cat>
            <c:strRef>
              <c:f>Results!$C$28:$C$36</c:f>
              <c:strCache>
                <c:ptCount val="9"/>
                <c:pt idx="0">
                  <c:v>Heating system</c:v>
                </c:pt>
                <c:pt idx="1">
                  <c:v>Domestic Hot Water</c:v>
                </c:pt>
                <c:pt idx="2">
                  <c:v>Cooling system</c:v>
                </c:pt>
                <c:pt idx="3">
                  <c:v>Controlled ventilation</c:v>
                </c:pt>
                <c:pt idx="4">
                  <c:v>Lighting</c:v>
                </c:pt>
                <c:pt idx="5">
                  <c:v>Dynamic Envelope</c:v>
                </c:pt>
                <c:pt idx="6">
                  <c:v>Electricity: renewables &amp; storage</c:v>
                </c:pt>
                <c:pt idx="7">
                  <c:v>Electric Vehicle Charging</c:v>
                </c:pt>
                <c:pt idx="8">
                  <c:v>Monitoring &amp; Control</c:v>
                </c:pt>
              </c:strCache>
            </c:strRef>
          </c:cat>
          <c:val>
            <c:numRef>
              <c:f>Results!$D$13:$D$19</c:f>
              <c:numCache>
                <c:formatCode>General</c:formatCode>
                <c:ptCount val="7"/>
              </c:numCache>
            </c:numRef>
          </c:val>
          <c:extLst>
            <c:ext xmlns:c16="http://schemas.microsoft.com/office/drawing/2014/chart" uri="{C3380CC4-5D6E-409C-BE32-E72D297353CC}">
              <c16:uniqueId val="{00000003-9BED-4D12-B580-95DFBB411E3E}"/>
            </c:ext>
          </c:extLst>
        </c:ser>
        <c:ser>
          <c:idx val="2"/>
          <c:order val="3"/>
          <c:spPr>
            <a:solidFill>
              <a:schemeClr val="accent3"/>
            </a:solidFill>
            <a:ln>
              <a:noFill/>
            </a:ln>
            <a:effectLst/>
          </c:spPr>
          <c:invertIfNegative val="0"/>
          <c:cat>
            <c:strRef>
              <c:f>Results!$C$28:$C$36</c:f>
              <c:strCache>
                <c:ptCount val="9"/>
                <c:pt idx="0">
                  <c:v>Heating system</c:v>
                </c:pt>
                <c:pt idx="1">
                  <c:v>Domestic Hot Water</c:v>
                </c:pt>
                <c:pt idx="2">
                  <c:v>Cooling system</c:v>
                </c:pt>
                <c:pt idx="3">
                  <c:v>Controlled ventilation</c:v>
                </c:pt>
                <c:pt idx="4">
                  <c:v>Lighting</c:v>
                </c:pt>
                <c:pt idx="5">
                  <c:v>Dynamic Envelope</c:v>
                </c:pt>
                <c:pt idx="6">
                  <c:v>Electricity: renewables &amp; storage</c:v>
                </c:pt>
                <c:pt idx="7">
                  <c:v>Electric Vehicle Charging</c:v>
                </c:pt>
                <c:pt idx="8">
                  <c:v>Monitoring &amp; Control</c:v>
                </c:pt>
              </c:strCache>
            </c:strRef>
          </c:cat>
          <c:val>
            <c:numRef>
              <c:f>Results!$E$13:$E$19</c:f>
              <c:numCache>
                <c:formatCode>General</c:formatCode>
                <c:ptCount val="7"/>
              </c:numCache>
            </c:numRef>
          </c:val>
          <c:extLst>
            <c:ext xmlns:c16="http://schemas.microsoft.com/office/drawing/2014/chart" uri="{C3380CC4-5D6E-409C-BE32-E72D297353CC}">
              <c16:uniqueId val="{00000004-9BED-4D12-B580-95DFBB411E3E}"/>
            </c:ext>
          </c:extLst>
        </c:ser>
        <c:ser>
          <c:idx val="3"/>
          <c:order val="4"/>
          <c:spPr>
            <a:solidFill>
              <a:schemeClr val="accent6">
                <a:lumMod val="75000"/>
              </a:schemeClr>
            </a:solidFill>
          </c:spPr>
          <c:invertIfNegative val="0"/>
          <c:dLbls>
            <c:dLbl>
              <c:idx val="0"/>
              <c:tx>
                <c:rich>
                  <a:bodyPr/>
                  <a:lstStyle/>
                  <a:p>
                    <a:fld id="{E648D6BF-9DFC-49FC-8465-A587110A2439}" type="CELLRANGE">
                      <a:rPr lang="en-US"/>
                      <a:pPr/>
                      <a:t>[CELLEOMRÅDE]</a:t>
                    </a:fld>
                    <a:endParaRPr lang="da-DK"/>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504F-4466-B668-DB3ABE7E566A}"/>
                </c:ext>
              </c:extLst>
            </c:dLbl>
            <c:dLbl>
              <c:idx val="1"/>
              <c:tx>
                <c:rich>
                  <a:bodyPr/>
                  <a:lstStyle/>
                  <a:p>
                    <a:fld id="{EF4B02DF-01F7-4A5F-9803-592836DB46E0}" type="CELLRANGE">
                      <a:rPr lang="da-DK"/>
                      <a:pPr/>
                      <a:t>[CELLEOMRÅDE]</a:t>
                    </a:fld>
                    <a:endParaRPr lang="da-DK"/>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04F-4466-B668-DB3ABE7E566A}"/>
                </c:ext>
              </c:extLst>
            </c:dLbl>
            <c:dLbl>
              <c:idx val="2"/>
              <c:tx>
                <c:rich>
                  <a:bodyPr/>
                  <a:lstStyle/>
                  <a:p>
                    <a:fld id="{A3BFD36F-D129-404A-B458-C0E5E656F1A5}" type="CELLRANGE">
                      <a:rPr lang="da-DK"/>
                      <a:pPr/>
                      <a:t>[CELLEOMRÅDE]</a:t>
                    </a:fld>
                    <a:endParaRPr lang="da-DK"/>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04F-4466-B668-DB3ABE7E566A}"/>
                </c:ext>
              </c:extLst>
            </c:dLbl>
            <c:dLbl>
              <c:idx val="3"/>
              <c:tx>
                <c:rich>
                  <a:bodyPr/>
                  <a:lstStyle/>
                  <a:p>
                    <a:fld id="{E017484F-F140-462A-9F5E-FA9C10788DE3}" type="CELLRANGE">
                      <a:rPr lang="da-DK"/>
                      <a:pPr/>
                      <a:t>[CELLEOMRÅDE]</a:t>
                    </a:fld>
                    <a:endParaRPr lang="da-DK"/>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04F-4466-B668-DB3ABE7E566A}"/>
                </c:ext>
              </c:extLst>
            </c:dLbl>
            <c:dLbl>
              <c:idx val="4"/>
              <c:tx>
                <c:rich>
                  <a:bodyPr/>
                  <a:lstStyle/>
                  <a:p>
                    <a:fld id="{53287678-56D9-4EC7-910E-CD28241E4806}" type="CELLRANGE">
                      <a:rPr lang="da-DK"/>
                      <a:pPr/>
                      <a:t>[CELLEOMRÅDE]</a:t>
                    </a:fld>
                    <a:endParaRPr lang="da-DK"/>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04F-4466-B668-DB3ABE7E566A}"/>
                </c:ext>
              </c:extLst>
            </c:dLbl>
            <c:dLbl>
              <c:idx val="5"/>
              <c:tx>
                <c:rich>
                  <a:bodyPr/>
                  <a:lstStyle/>
                  <a:p>
                    <a:fld id="{EC49A848-4E53-4693-B2BE-5804C91CE06C}" type="CELLRANGE">
                      <a:rPr lang="da-DK"/>
                      <a:pPr/>
                      <a:t>[CELLEOMRÅDE]</a:t>
                    </a:fld>
                    <a:endParaRPr lang="da-DK"/>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04F-4466-B668-DB3ABE7E566A}"/>
                </c:ext>
              </c:extLst>
            </c:dLbl>
            <c:dLbl>
              <c:idx val="6"/>
              <c:tx>
                <c:rich>
                  <a:bodyPr/>
                  <a:lstStyle/>
                  <a:p>
                    <a:fld id="{77619D8B-D71B-4203-ACBC-3E3C809B61C0}" type="CELLRANGE">
                      <a:rPr lang="da-DK"/>
                      <a:pPr/>
                      <a:t>[CELLEOMRÅDE]</a:t>
                    </a:fld>
                    <a:endParaRPr lang="da-DK"/>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04F-4466-B668-DB3ABE7E566A}"/>
                </c:ext>
              </c:extLst>
            </c:dLbl>
            <c:dLbl>
              <c:idx val="7"/>
              <c:tx>
                <c:rich>
                  <a:bodyPr/>
                  <a:lstStyle/>
                  <a:p>
                    <a:fld id="{D85B8FF7-D163-44BD-8CAB-BB34D642E961}" type="CELLRANGE">
                      <a:rPr lang="da-DK"/>
                      <a:pPr/>
                      <a:t>[CELLEOMRÅDE]</a:t>
                    </a:fld>
                    <a:endParaRPr lang="da-DK"/>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04F-4466-B668-DB3ABE7E566A}"/>
                </c:ext>
              </c:extLst>
            </c:dLbl>
            <c:dLbl>
              <c:idx val="8"/>
              <c:tx>
                <c:rich>
                  <a:bodyPr/>
                  <a:lstStyle/>
                  <a:p>
                    <a:fld id="{780F4B9F-0B91-4B0C-9B42-AA68979A0C5A}" type="CELLRANGE">
                      <a:rPr lang="da-DK"/>
                      <a:pPr/>
                      <a:t>[CELLEOMRÅDE]</a:t>
                    </a:fld>
                    <a:endParaRPr lang="da-DK"/>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04F-4466-B668-DB3ABE7E566A}"/>
                </c:ext>
              </c:extLst>
            </c:dLbl>
            <c:spPr>
              <a:noFill/>
              <a:ln>
                <a:noFill/>
              </a:ln>
              <a:effectLst/>
            </c:sp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Results!$C$28:$C$36</c:f>
              <c:strCache>
                <c:ptCount val="9"/>
                <c:pt idx="0">
                  <c:v>Heating system</c:v>
                </c:pt>
                <c:pt idx="1">
                  <c:v>Domestic Hot Water</c:v>
                </c:pt>
                <c:pt idx="2">
                  <c:v>Cooling system</c:v>
                </c:pt>
                <c:pt idx="3">
                  <c:v>Controlled ventilation</c:v>
                </c:pt>
                <c:pt idx="4">
                  <c:v>Lighting</c:v>
                </c:pt>
                <c:pt idx="5">
                  <c:v>Dynamic Envelope</c:v>
                </c:pt>
                <c:pt idx="6">
                  <c:v>Electricity: renewables &amp; storage</c:v>
                </c:pt>
                <c:pt idx="7">
                  <c:v>Electric Vehicle Charging</c:v>
                </c:pt>
                <c:pt idx="8">
                  <c:v>Monitoring &amp; Control</c:v>
                </c:pt>
              </c:strCache>
            </c:strRef>
          </c:cat>
          <c:val>
            <c:numRef>
              <c:f>Results!$F$28:$F$36</c:f>
              <c:numCache>
                <c:formatCode>0%</c:formatCode>
                <c:ptCount val="9"/>
                <c:pt idx="0">
                  <c:v>0.81207875026000931</c:v>
                </c:pt>
                <c:pt idx="1">
                  <c:v>0.4314924068078852</c:v>
                </c:pt>
                <c:pt idx="2">
                  <c:v>0.90222931226217129</c:v>
                </c:pt>
                <c:pt idx="3">
                  <c:v>0.87080752790864757</c:v>
                </c:pt>
                <c:pt idx="4">
                  <c:v>0.68181380107838463</c:v>
                </c:pt>
                <c:pt idx="5">
                  <c:v>0</c:v>
                </c:pt>
                <c:pt idx="6">
                  <c:v>0.25131025578393945</c:v>
                </c:pt>
                <c:pt idx="7">
                  <c:v>0.2592592592592593</c:v>
                </c:pt>
                <c:pt idx="8">
                  <c:v>0.45238095238095227</c:v>
                </c:pt>
              </c:numCache>
            </c:numRef>
          </c:val>
          <c:extLst>
            <c:ext xmlns:c15="http://schemas.microsoft.com/office/drawing/2012/chart" uri="{02D57815-91ED-43cb-92C2-25804820EDAC}">
              <c15:datalabelsRange>
                <c15:f>Results!$F$28:$F$36</c15:f>
                <c15:dlblRangeCache>
                  <c:ptCount val="9"/>
                  <c:pt idx="0">
                    <c:v>81%</c:v>
                  </c:pt>
                  <c:pt idx="1">
                    <c:v>43%</c:v>
                  </c:pt>
                  <c:pt idx="2">
                    <c:v>90%</c:v>
                  </c:pt>
                  <c:pt idx="3">
                    <c:v>87%</c:v>
                  </c:pt>
                  <c:pt idx="4">
                    <c:v>68%</c:v>
                  </c:pt>
                  <c:pt idx="5">
                    <c:v>0%</c:v>
                  </c:pt>
                  <c:pt idx="6">
                    <c:v>25%</c:v>
                  </c:pt>
                  <c:pt idx="7">
                    <c:v>26%</c:v>
                  </c:pt>
                  <c:pt idx="8">
                    <c:v>45%</c:v>
                  </c:pt>
                </c15:dlblRangeCache>
              </c15:datalabelsRange>
            </c:ext>
            <c:ext xmlns:c16="http://schemas.microsoft.com/office/drawing/2014/chart" uri="{C3380CC4-5D6E-409C-BE32-E72D297353CC}">
              <c16:uniqueId val="{00000005-9BED-4D12-B580-95DFBB411E3E}"/>
            </c:ext>
          </c:extLst>
        </c:ser>
        <c:dLbls>
          <c:showLegendKey val="0"/>
          <c:showVal val="0"/>
          <c:showCatName val="0"/>
          <c:showSerName val="0"/>
          <c:showPercent val="0"/>
          <c:showBubbleSize val="0"/>
        </c:dLbls>
        <c:gapWidth val="100"/>
        <c:overlap val="100"/>
        <c:axId val="640644632"/>
        <c:axId val="640642008"/>
      </c:barChart>
      <c:catAx>
        <c:axId val="640644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640642008"/>
        <c:crosses val="autoZero"/>
        <c:auto val="1"/>
        <c:lblAlgn val="ctr"/>
        <c:lblOffset val="100"/>
        <c:noMultiLvlLbl val="0"/>
      </c:catAx>
      <c:valAx>
        <c:axId val="640642008"/>
        <c:scaling>
          <c:orientation val="minMax"/>
          <c:max val="1"/>
        </c:scaling>
        <c:delete val="1"/>
        <c:axPos val="l"/>
        <c:numFmt formatCode="General" sourceLinked="1"/>
        <c:majorTickMark val="none"/>
        <c:minorTickMark val="none"/>
        <c:tickLblPos val="nextTo"/>
        <c:crossAx val="640644632"/>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da-DK"/>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395111</xdr:colOff>
      <xdr:row>10</xdr:row>
      <xdr:rowOff>125942</xdr:rowOff>
    </xdr:from>
    <xdr:to>
      <xdr:col>11</xdr:col>
      <xdr:colOff>839610</xdr:colOff>
      <xdr:row>22</xdr:row>
      <xdr:rowOff>74083</xdr:rowOff>
    </xdr:to>
    <xdr:graphicFrame macro="">
      <xdr:nvGraphicFramePr>
        <xdr:cNvPr id="4" name="Chart 3">
          <a:extLst>
            <a:ext uri="{FF2B5EF4-FFF2-40B4-BE49-F238E27FC236}">
              <a16:creationId xmlns:a16="http://schemas.microsoft.com/office/drawing/2014/main" id="{F20CD47F-FE20-49C1-861C-265BED5763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406400</xdr:colOff>
      <xdr:row>25</xdr:row>
      <xdr:rowOff>98784</xdr:rowOff>
    </xdr:from>
    <xdr:to>
      <xdr:col>11</xdr:col>
      <xdr:colOff>914400</xdr:colOff>
      <xdr:row>36</xdr:row>
      <xdr:rowOff>135825</xdr:rowOff>
    </xdr:to>
    <xdr:graphicFrame macro="">
      <xdr:nvGraphicFramePr>
        <xdr:cNvPr id="6" name="Chart 5">
          <a:extLst>
            <a:ext uri="{FF2B5EF4-FFF2-40B4-BE49-F238E27FC236}">
              <a16:creationId xmlns:a16="http://schemas.microsoft.com/office/drawing/2014/main" id="{26B5389A-9E23-42AB-A4A6-53B931097C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org.aalto.fi\remesl2\data\Desktop\FW__SRI_public_b&#232;ta_testing\SRI2_Calculation-Sheet_Method-A_v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Building Information"/>
      <sheetName val="Calculation Sheet"/>
      <sheetName val="Results"/>
      <sheetName val="Weightings"/>
      <sheetName val="overview_of_services"/>
      <sheetName val="Feedback"/>
      <sheetName val="heating"/>
      <sheetName val="dhw"/>
      <sheetName val="cooling"/>
      <sheetName val="ventilation"/>
      <sheetName val="lighting"/>
      <sheetName val="DE"/>
      <sheetName val="electricity"/>
      <sheetName val="EV"/>
      <sheetName val="MC"/>
      <sheetName val="_general"/>
    </sheetNames>
    <sheetDataSet>
      <sheetData sheetId="0" refreshError="1"/>
      <sheetData sheetId="1"/>
      <sheetData sheetId="2"/>
      <sheetData sheetId="3" refreshError="1"/>
      <sheetData sheetId="4" refreshError="1"/>
      <sheetData sheetId="5" refreshError="1"/>
      <sheetData sheetId="6" refreshError="1"/>
      <sheetData sheetId="7">
        <row r="1">
          <cell r="R1">
            <v>1</v>
          </cell>
          <cell r="S1">
            <v>1</v>
          </cell>
          <cell r="T1">
            <v>1</v>
          </cell>
          <cell r="U1">
            <v>1</v>
          </cell>
          <cell r="V1">
            <v>0</v>
          </cell>
          <cell r="W1">
            <v>1</v>
          </cell>
          <cell r="X1">
            <v>1</v>
          </cell>
        </row>
      </sheetData>
      <sheetData sheetId="8">
        <row r="1">
          <cell r="R1">
            <v>1</v>
          </cell>
          <cell r="S1">
            <v>1</v>
          </cell>
          <cell r="T1">
            <v>1</v>
          </cell>
          <cell r="U1">
            <v>1</v>
          </cell>
          <cell r="V1">
            <v>0</v>
          </cell>
          <cell r="W1">
            <v>1</v>
          </cell>
          <cell r="X1">
            <v>1</v>
          </cell>
        </row>
      </sheetData>
      <sheetData sheetId="9">
        <row r="1">
          <cell r="R1">
            <v>1</v>
          </cell>
          <cell r="S1">
            <v>1</v>
          </cell>
          <cell r="T1">
            <v>1</v>
          </cell>
          <cell r="U1">
            <v>1</v>
          </cell>
          <cell r="V1">
            <v>0</v>
          </cell>
          <cell r="W1">
            <v>1</v>
          </cell>
          <cell r="X1">
            <v>1</v>
          </cell>
        </row>
      </sheetData>
      <sheetData sheetId="10">
        <row r="1">
          <cell r="R1">
            <v>1</v>
          </cell>
          <cell r="S1">
            <v>1</v>
          </cell>
          <cell r="T1">
            <v>1</v>
          </cell>
          <cell r="U1">
            <v>1</v>
          </cell>
          <cell r="V1">
            <v>1</v>
          </cell>
          <cell r="W1">
            <v>1</v>
          </cell>
          <cell r="X1">
            <v>1</v>
          </cell>
        </row>
      </sheetData>
      <sheetData sheetId="11">
        <row r="1">
          <cell r="R1">
            <v>1</v>
          </cell>
          <cell r="S1">
            <v>0</v>
          </cell>
          <cell r="T1">
            <v>1</v>
          </cell>
          <cell r="U1">
            <v>1</v>
          </cell>
          <cell r="V1">
            <v>0</v>
          </cell>
          <cell r="W1">
            <v>0</v>
          </cell>
          <cell r="X1">
            <v>0</v>
          </cell>
        </row>
      </sheetData>
      <sheetData sheetId="12">
        <row r="1">
          <cell r="R1">
            <v>1</v>
          </cell>
          <cell r="S1">
            <v>1</v>
          </cell>
          <cell r="T1">
            <v>1</v>
          </cell>
          <cell r="U1">
            <v>1</v>
          </cell>
          <cell r="V1">
            <v>1</v>
          </cell>
          <cell r="W1">
            <v>1</v>
          </cell>
          <cell r="X1">
            <v>1</v>
          </cell>
        </row>
      </sheetData>
      <sheetData sheetId="13">
        <row r="1">
          <cell r="R1">
            <v>1</v>
          </cell>
          <cell r="S1">
            <v>1</v>
          </cell>
          <cell r="T1">
            <v>0</v>
          </cell>
          <cell r="U1">
            <v>1</v>
          </cell>
          <cell r="V1">
            <v>0</v>
          </cell>
          <cell r="W1">
            <v>1</v>
          </cell>
          <cell r="X1">
            <v>1</v>
          </cell>
        </row>
      </sheetData>
      <sheetData sheetId="14">
        <row r="1">
          <cell r="R1">
            <v>0</v>
          </cell>
          <cell r="S1">
            <v>1</v>
          </cell>
          <cell r="T1">
            <v>0</v>
          </cell>
          <cell r="U1">
            <v>1</v>
          </cell>
          <cell r="V1">
            <v>0</v>
          </cell>
          <cell r="W1">
            <v>0</v>
          </cell>
          <cell r="X1">
            <v>1</v>
          </cell>
        </row>
      </sheetData>
      <sheetData sheetId="15">
        <row r="1">
          <cell r="R1">
            <v>1</v>
          </cell>
          <cell r="S1">
            <v>1</v>
          </cell>
          <cell r="T1">
            <v>0</v>
          </cell>
          <cell r="U1">
            <v>1</v>
          </cell>
          <cell r="V1">
            <v>0</v>
          </cell>
          <cell r="W1">
            <v>1</v>
          </cell>
          <cell r="X1">
            <v>1</v>
          </cell>
        </row>
      </sheetData>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5"/>
  <sheetViews>
    <sheetView workbookViewId="0">
      <selection activeCell="A9" sqref="A9"/>
    </sheetView>
  </sheetViews>
  <sheetFormatPr defaultColWidth="8.81640625" defaultRowHeight="14.5" x14ac:dyDescent="0.35"/>
  <cols>
    <col min="1" max="1" width="50.81640625" style="146" customWidth="1"/>
    <col min="2" max="2" width="35" style="146" bestFit="1" customWidth="1"/>
    <col min="3" max="16384" width="8.81640625" style="146"/>
  </cols>
  <sheetData>
    <row r="1" spans="1:6" x14ac:dyDescent="0.35">
      <c r="A1" s="420"/>
      <c r="B1" s="420"/>
      <c r="C1" s="420"/>
      <c r="D1" s="420"/>
      <c r="E1" s="420"/>
      <c r="F1" s="420"/>
    </row>
    <row r="2" spans="1:6" ht="35.5" customHeight="1" x14ac:dyDescent="0.35">
      <c r="A2" s="536" t="s">
        <v>1175</v>
      </c>
      <c r="B2" s="536"/>
      <c r="C2" s="536"/>
      <c r="D2" s="536"/>
      <c r="E2" s="536"/>
      <c r="F2" s="536"/>
    </row>
    <row r="3" spans="1:6" x14ac:dyDescent="0.35">
      <c r="A3" s="420"/>
      <c r="B3" s="420"/>
      <c r="C3" s="420"/>
      <c r="D3" s="420"/>
      <c r="E3" s="420"/>
      <c r="F3" s="420"/>
    </row>
    <row r="4" spans="1:6" x14ac:dyDescent="0.35">
      <c r="A4" s="421" t="s">
        <v>0</v>
      </c>
      <c r="B4" s="420"/>
      <c r="C4" s="420"/>
      <c r="D4" s="420"/>
      <c r="E4" s="420"/>
      <c r="F4" s="420"/>
    </row>
    <row r="5" spans="1:6" ht="31.5" customHeight="1" x14ac:dyDescent="0.35">
      <c r="A5" s="420" t="s">
        <v>982</v>
      </c>
      <c r="B5" s="538" t="s">
        <v>1051</v>
      </c>
      <c r="C5" s="538"/>
      <c r="D5" s="538"/>
      <c r="E5" s="538"/>
      <c r="F5" s="538"/>
    </row>
    <row r="6" spans="1:6" ht="30" customHeight="1" x14ac:dyDescent="0.35">
      <c r="A6" s="420" t="s">
        <v>983</v>
      </c>
      <c r="B6" s="538" t="s">
        <v>1052</v>
      </c>
      <c r="C6" s="538"/>
      <c r="D6" s="538"/>
      <c r="E6" s="538"/>
      <c r="F6" s="538"/>
    </row>
    <row r="7" spans="1:6" ht="17" customHeight="1" x14ac:dyDescent="0.35">
      <c r="A7" s="420" t="s">
        <v>1049</v>
      </c>
      <c r="B7" s="539" t="s">
        <v>1050</v>
      </c>
      <c r="C7" s="539"/>
      <c r="D7" s="539"/>
      <c r="E7" s="539"/>
      <c r="F7" s="539"/>
    </row>
    <row r="8" spans="1:6" ht="30" customHeight="1" x14ac:dyDescent="0.35">
      <c r="A8" s="420" t="s">
        <v>984</v>
      </c>
      <c r="B8" s="538" t="s">
        <v>1053</v>
      </c>
      <c r="C8" s="538"/>
      <c r="D8" s="538"/>
      <c r="E8" s="538"/>
      <c r="F8" s="538"/>
    </row>
    <row r="9" spans="1:6" ht="44.5" customHeight="1" x14ac:dyDescent="0.35">
      <c r="A9" s="422" t="s">
        <v>1</v>
      </c>
      <c r="B9" s="537" t="s">
        <v>1054</v>
      </c>
      <c r="C9" s="537"/>
      <c r="D9" s="537"/>
      <c r="E9" s="537"/>
      <c r="F9" s="537"/>
    </row>
    <row r="10" spans="1:6" ht="22" customHeight="1" x14ac:dyDescent="0.35">
      <c r="A10" s="475" t="s">
        <v>1176</v>
      </c>
      <c r="B10" s="540" t="s">
        <v>1177</v>
      </c>
      <c r="C10" s="540"/>
      <c r="D10" s="540"/>
      <c r="E10" s="540"/>
      <c r="F10" s="540"/>
    </row>
    <row r="11" spans="1:6" ht="46.5" customHeight="1" x14ac:dyDescent="0.35">
      <c r="A11" s="422" t="s">
        <v>2</v>
      </c>
      <c r="B11" s="537" t="s">
        <v>1055</v>
      </c>
      <c r="C11" s="537"/>
      <c r="D11" s="537"/>
      <c r="E11" s="537"/>
      <c r="F11" s="537"/>
    </row>
    <row r="12" spans="1:6" x14ac:dyDescent="0.35">
      <c r="A12" s="420"/>
      <c r="B12" s="420"/>
      <c r="C12" s="420"/>
      <c r="D12" s="420"/>
      <c r="E12" s="420"/>
      <c r="F12" s="420"/>
    </row>
    <row r="13" spans="1:6" x14ac:dyDescent="0.35">
      <c r="A13" s="421" t="s">
        <v>1009</v>
      </c>
      <c r="B13" s="420"/>
      <c r="C13" s="420"/>
      <c r="D13" s="420"/>
      <c r="E13" s="420"/>
      <c r="F13" s="420"/>
    </row>
    <row r="14" spans="1:6" x14ac:dyDescent="0.35">
      <c r="A14" s="420"/>
      <c r="B14" s="420"/>
      <c r="C14" s="420"/>
      <c r="D14" s="420"/>
      <c r="E14" s="420"/>
      <c r="F14" s="420"/>
    </row>
    <row r="15" spans="1:6" ht="29" x14ac:dyDescent="0.35">
      <c r="A15" s="423" t="s">
        <v>1056</v>
      </c>
      <c r="B15" s="424"/>
      <c r="C15" s="420"/>
      <c r="D15" s="420"/>
      <c r="E15" s="420"/>
      <c r="F15" s="420"/>
    </row>
    <row r="16" spans="1:6" x14ac:dyDescent="0.35">
      <c r="A16" s="420"/>
      <c r="B16" s="420"/>
      <c r="C16" s="420"/>
      <c r="D16" s="420"/>
      <c r="E16" s="420"/>
      <c r="F16" s="420"/>
    </row>
    <row r="17" spans="1:6" ht="29" x14ac:dyDescent="0.35">
      <c r="A17" s="425" t="s">
        <v>1010</v>
      </c>
      <c r="B17" s="420"/>
      <c r="C17" s="420"/>
      <c r="D17" s="420"/>
      <c r="E17" s="420"/>
      <c r="F17" s="420"/>
    </row>
    <row r="18" spans="1:6" x14ac:dyDescent="0.35">
      <c r="A18" s="420"/>
      <c r="B18" s="420"/>
      <c r="C18" s="420"/>
      <c r="D18" s="420"/>
      <c r="E18" s="420"/>
      <c r="F18" s="420"/>
    </row>
    <row r="19" spans="1:6" x14ac:dyDescent="0.35">
      <c r="A19" s="420"/>
      <c r="B19" s="420"/>
      <c r="C19" s="420"/>
      <c r="D19" s="420"/>
      <c r="E19" s="420"/>
      <c r="F19" s="420"/>
    </row>
    <row r="20" spans="1:6" x14ac:dyDescent="0.35">
      <c r="A20" s="79" t="s">
        <v>1109</v>
      </c>
    </row>
    <row r="21" spans="1:6" x14ac:dyDescent="0.35">
      <c r="A21" s="146" t="s">
        <v>1111</v>
      </c>
      <c r="B21" s="146" t="s">
        <v>1112</v>
      </c>
    </row>
    <row r="22" spans="1:6" x14ac:dyDescent="0.35">
      <c r="A22" s="146" t="s">
        <v>946</v>
      </c>
      <c r="B22" s="146" t="s">
        <v>1134</v>
      </c>
    </row>
    <row r="23" spans="1:6" x14ac:dyDescent="0.35">
      <c r="A23" s="146" t="s">
        <v>1126</v>
      </c>
      <c r="B23" s="146" t="s">
        <v>1127</v>
      </c>
    </row>
    <row r="24" spans="1:6" x14ac:dyDescent="0.35">
      <c r="A24" s="146" t="s">
        <v>927</v>
      </c>
      <c r="B24" s="146" t="s">
        <v>862</v>
      </c>
    </row>
    <row r="25" spans="1:6" x14ac:dyDescent="0.35">
      <c r="A25" s="146" t="s">
        <v>1128</v>
      </c>
      <c r="B25" s="146" t="s">
        <v>1129</v>
      </c>
    </row>
    <row r="26" spans="1:6" x14ac:dyDescent="0.35">
      <c r="A26" s="146" t="s">
        <v>1130</v>
      </c>
      <c r="B26" s="146" t="s">
        <v>1131</v>
      </c>
    </row>
    <row r="27" spans="1:6" x14ac:dyDescent="0.35">
      <c r="A27" s="146" t="s">
        <v>898</v>
      </c>
      <c r="B27" s="146" t="s">
        <v>1115</v>
      </c>
    </row>
    <row r="28" spans="1:6" x14ac:dyDescent="0.35">
      <c r="A28" s="146" t="s">
        <v>1124</v>
      </c>
      <c r="B28" s="146" t="s">
        <v>1125</v>
      </c>
    </row>
    <row r="29" spans="1:6" x14ac:dyDescent="0.35">
      <c r="A29" s="146" t="s">
        <v>1113</v>
      </c>
      <c r="B29" s="146" t="s">
        <v>1114</v>
      </c>
    </row>
    <row r="30" spans="1:6" x14ac:dyDescent="0.35">
      <c r="A30" s="146" t="s">
        <v>1135</v>
      </c>
      <c r="B30" s="146" t="s">
        <v>1136</v>
      </c>
    </row>
    <row r="31" spans="1:6" x14ac:dyDescent="0.35">
      <c r="A31" s="146" t="s">
        <v>1119</v>
      </c>
      <c r="B31" s="146" t="s">
        <v>1118</v>
      </c>
    </row>
    <row r="32" spans="1:6" x14ac:dyDescent="0.35">
      <c r="A32" s="146" t="s">
        <v>1132</v>
      </c>
      <c r="B32" s="146" t="s">
        <v>1133</v>
      </c>
    </row>
    <row r="33" spans="1:2" x14ac:dyDescent="0.35">
      <c r="A33" s="146" t="s">
        <v>1120</v>
      </c>
      <c r="B33" s="146" t="s">
        <v>1121</v>
      </c>
    </row>
    <row r="34" spans="1:2" x14ac:dyDescent="0.35">
      <c r="A34" s="146" t="s">
        <v>1116</v>
      </c>
      <c r="B34" s="146" t="s">
        <v>1117</v>
      </c>
    </row>
    <row r="35" spans="1:2" x14ac:dyDescent="0.35">
      <c r="A35" s="146" t="s">
        <v>1122</v>
      </c>
      <c r="B35" s="146" t="s">
        <v>1123</v>
      </c>
    </row>
  </sheetData>
  <sheetProtection algorithmName="SHA-512" hashValue="XYVm+vRf6Yjigs4wYomn5uqND2tZVRTm8SYTlLz7/oqKJ78WYJH+vV7JUURxIVZA7yFwrkj2QdcVycWOToFFgg==" saltValue="0xluhwNN3IULTjIDfy8EtA==" spinCount="100000" sheet="1" objects="1" scenarios="1"/>
  <mergeCells count="8">
    <mergeCell ref="A2:F2"/>
    <mergeCell ref="B11:F11"/>
    <mergeCell ref="B5:F5"/>
    <mergeCell ref="B6:F6"/>
    <mergeCell ref="B8:F8"/>
    <mergeCell ref="B9:F9"/>
    <mergeCell ref="B7:F7"/>
    <mergeCell ref="B10:F1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156"/>
  <sheetViews>
    <sheetView zoomScale="50" zoomScaleNormal="50" workbookViewId="0">
      <pane ySplit="1" topLeftCell="A4" activePane="bottomLeft" state="frozen"/>
      <selection pane="bottomLeft" activeCell="D4" sqref="D4"/>
    </sheetView>
  </sheetViews>
  <sheetFormatPr defaultColWidth="9.453125" defaultRowHeight="14.5" outlineLevelRow="2" x14ac:dyDescent="0.35"/>
  <cols>
    <col min="1" max="1" width="3.453125" style="481" customWidth="1"/>
    <col min="2" max="2" width="5.453125" style="481" customWidth="1"/>
    <col min="3" max="3" width="14.54296875" style="485" customWidth="1"/>
    <col min="4" max="4" width="60.54296875" style="485" customWidth="1"/>
    <col min="5" max="6" width="20" style="485" customWidth="1"/>
    <col min="7" max="11" width="20" style="523" customWidth="1"/>
    <col min="12" max="13" width="28" style="523" customWidth="1"/>
    <col min="14" max="14" width="20" style="523" customWidth="1"/>
    <col min="15" max="15" width="33.453125" style="523" customWidth="1"/>
    <col min="16" max="16" width="53.54296875" style="485" customWidth="1"/>
    <col min="17" max="17" width="27" style="485" customWidth="1"/>
    <col min="18" max="16384" width="9.453125" style="485"/>
  </cols>
  <sheetData>
    <row r="1" spans="1:24" s="479" customFormat="1" ht="37.5" customHeight="1" thickBot="1" x14ac:dyDescent="0.55000000000000004">
      <c r="A1" s="477"/>
      <c r="B1" s="477"/>
      <c r="C1" s="477" t="s">
        <v>676</v>
      </c>
      <c r="D1" s="478" t="s">
        <v>749</v>
      </c>
      <c r="G1" s="480"/>
      <c r="H1" s="480"/>
      <c r="I1" s="480"/>
      <c r="J1" s="480"/>
      <c r="K1" s="480"/>
      <c r="L1" s="480"/>
      <c r="M1" s="480"/>
      <c r="N1" s="480"/>
      <c r="O1" s="480"/>
      <c r="R1" s="479">
        <f>IF(SUM(R6:R166)&gt;0,1,0)</f>
        <v>1</v>
      </c>
      <c r="S1" s="479">
        <f t="shared" ref="S1:X1" si="0">IF(SUM(S6:S166)&gt;0,1,0)</f>
        <v>1</v>
      </c>
      <c r="T1" s="479">
        <f t="shared" si="0"/>
        <v>1</v>
      </c>
      <c r="U1" s="479">
        <f t="shared" si="0"/>
        <v>1</v>
      </c>
      <c r="V1" s="479">
        <f t="shared" si="0"/>
        <v>0</v>
      </c>
      <c r="W1" s="479">
        <f t="shared" si="0"/>
        <v>1</v>
      </c>
      <c r="X1" s="479">
        <f t="shared" si="0"/>
        <v>1</v>
      </c>
    </row>
    <row r="2" spans="1:24" s="481" customFormat="1" ht="43.5" customHeight="1" thickTop="1" thickBot="1" x14ac:dyDescent="0.4">
      <c r="O2" s="482"/>
    </row>
    <row r="3" spans="1:24" ht="17.25" customHeight="1" thickBot="1" x14ac:dyDescent="0.4">
      <c r="C3" s="483" t="s">
        <v>677</v>
      </c>
      <c r="D3" s="484" t="s">
        <v>678</v>
      </c>
      <c r="E3" s="481"/>
      <c r="F3" s="481"/>
      <c r="G3" s="482"/>
      <c r="H3" s="482"/>
      <c r="I3" s="482"/>
      <c r="J3" s="482"/>
      <c r="K3" s="482"/>
      <c r="L3" s="482"/>
      <c r="M3" s="482"/>
      <c r="N3" s="482"/>
      <c r="O3" s="482"/>
      <c r="P3" s="481"/>
    </row>
    <row r="4" spans="1:24" s="492" customFormat="1" ht="36.75" customHeight="1" thickBot="1" x14ac:dyDescent="0.7">
      <c r="A4" s="481"/>
      <c r="B4" s="486" t="s">
        <v>679</v>
      </c>
      <c r="C4" s="487" t="s">
        <v>183</v>
      </c>
      <c r="D4" s="514" t="str">
        <f>VLOOKUP(C4,overview_of_services!$B$2:$I$88,3,FALSE)</f>
        <v>Cooling emission control</v>
      </c>
      <c r="E4" s="489"/>
      <c r="F4" s="490" t="s">
        <v>680</v>
      </c>
      <c r="G4" s="578" t="str">
        <f>VLOOKUP(C4,overview_of_services!$B$2:$I$88,2,FALSE)</f>
        <v>Cooling control - demand side</v>
      </c>
      <c r="H4" s="578"/>
      <c r="I4" s="490"/>
      <c r="J4" s="491"/>
      <c r="K4" s="491"/>
      <c r="L4" s="491"/>
      <c r="M4" s="491"/>
      <c r="N4" s="491"/>
      <c r="O4" s="491"/>
      <c r="R4" s="492" t="s">
        <v>681</v>
      </c>
      <c r="S4" s="492">
        <f>ROW()</f>
        <v>4</v>
      </c>
    </row>
    <row r="5" spans="1:24" ht="5.25" customHeight="1" x14ac:dyDescent="0.35">
      <c r="C5" s="493"/>
      <c r="D5" s="493"/>
      <c r="E5" s="493"/>
      <c r="F5" s="493"/>
      <c r="G5" s="493"/>
      <c r="H5" s="493"/>
      <c r="I5" s="493"/>
      <c r="J5" s="493"/>
      <c r="K5" s="493"/>
      <c r="L5" s="493"/>
      <c r="M5" s="493"/>
      <c r="N5" s="493"/>
      <c r="O5" s="494"/>
      <c r="P5" s="481"/>
    </row>
    <row r="6" spans="1:24" ht="20.25" customHeight="1" outlineLevel="1" x14ac:dyDescent="0.35">
      <c r="C6" s="575" t="s">
        <v>682</v>
      </c>
      <c r="D6" s="575"/>
      <c r="E6" s="577" t="s">
        <v>683</v>
      </c>
      <c r="F6" s="577"/>
      <c r="G6" s="577"/>
      <c r="H6" s="577"/>
      <c r="I6" s="577"/>
      <c r="J6" s="577"/>
      <c r="K6" s="577"/>
      <c r="L6" s="573" t="s">
        <v>684</v>
      </c>
      <c r="M6" s="574"/>
      <c r="N6" s="569" t="s">
        <v>685</v>
      </c>
      <c r="O6" s="571" t="s">
        <v>686</v>
      </c>
      <c r="P6" s="481"/>
    </row>
    <row r="7" spans="1:24" ht="36.75" customHeight="1" outlineLevel="1" thickBot="1" x14ac:dyDescent="0.4">
      <c r="C7" s="576"/>
      <c r="D7" s="576"/>
      <c r="E7" s="495" t="s">
        <v>687</v>
      </c>
      <c r="F7" s="495" t="s">
        <v>688</v>
      </c>
      <c r="G7" s="495" t="s">
        <v>689</v>
      </c>
      <c r="H7" s="495" t="s">
        <v>690</v>
      </c>
      <c r="I7" s="495" t="s">
        <v>616</v>
      </c>
      <c r="J7" s="495" t="s">
        <v>691</v>
      </c>
      <c r="K7" s="495" t="s">
        <v>692</v>
      </c>
      <c r="L7" s="496" t="s">
        <v>693</v>
      </c>
      <c r="M7" s="496" t="s">
        <v>694</v>
      </c>
      <c r="N7" s="570"/>
      <c r="O7" s="572"/>
      <c r="P7" s="481"/>
    </row>
    <row r="8" spans="1:24" s="503" customFormat="1" ht="35.25" customHeight="1" outlineLevel="1" thickTop="1" x14ac:dyDescent="0.5">
      <c r="A8" s="481"/>
      <c r="B8" s="481"/>
      <c r="C8" s="497" t="s">
        <v>695</v>
      </c>
      <c r="D8" s="498" t="str">
        <f>VLOOKUP(C4,overview_of_services!$B$2:$I$88,4,FALSE)</f>
        <v>No automatic control</v>
      </c>
      <c r="E8" s="499">
        <v>0</v>
      </c>
      <c r="F8" s="499">
        <v>0</v>
      </c>
      <c r="G8" s="499">
        <v>0</v>
      </c>
      <c r="H8" s="499">
        <v>0</v>
      </c>
      <c r="I8" s="499">
        <v>0</v>
      </c>
      <c r="J8" s="499">
        <v>0</v>
      </c>
      <c r="K8" s="499">
        <v>0</v>
      </c>
      <c r="L8" s="500" t="s">
        <v>696</v>
      </c>
      <c r="M8" s="500" t="s">
        <v>696</v>
      </c>
      <c r="N8" s="501">
        <v>0</v>
      </c>
      <c r="O8" s="502" t="s">
        <v>697</v>
      </c>
      <c r="P8" s="504"/>
      <c r="R8" s="504">
        <f t="shared" ref="R8:S12" si="1">IF(E8=0,0,(IF(E8="+",1,(IF(E8="++",2,(IF(E8="+++",3,(IF(E8="++++",4,(IF(E8="-",-1,(IF(E8="--",-2,(IF(E8="---",-3,(IF(E8="----",-4,"NA")))))))))))))))))</f>
        <v>0</v>
      </c>
      <c r="S8" s="504">
        <f t="shared" si="1"/>
        <v>0</v>
      </c>
      <c r="T8" s="504">
        <f t="shared" ref="T8:X12" si="2">IF(G8=0,0,(IF(G8="+",1,(IF(G8="++",2,(IF(G8="+++",3,(IF(G8="++++",4,(IF(G8="-",-1,(IF(G8="--",-2,(IF(G8="---",-3,(IF(G8="----",-4,"NA")))))))))))))))))</f>
        <v>0</v>
      </c>
      <c r="U8" s="504">
        <f t="shared" si="2"/>
        <v>0</v>
      </c>
      <c r="V8" s="504">
        <f t="shared" si="2"/>
        <v>0</v>
      </c>
      <c r="W8" s="504">
        <f t="shared" si="2"/>
        <v>0</v>
      </c>
      <c r="X8" s="504">
        <f t="shared" si="2"/>
        <v>0</v>
      </c>
    </row>
    <row r="9" spans="1:24" s="503" customFormat="1" ht="35.25" customHeight="1" outlineLevel="1" x14ac:dyDescent="0.5">
      <c r="A9" s="481"/>
      <c r="B9" s="481"/>
      <c r="C9" s="505" t="s">
        <v>699</v>
      </c>
      <c r="D9" s="506" t="str">
        <f>VLOOKUP(C4,overview_of_services!$B$2:$I$88,5,FALSE)</f>
        <v>Central automatic control</v>
      </c>
      <c r="E9" s="499" t="s">
        <v>700</v>
      </c>
      <c r="F9" s="499">
        <v>0</v>
      </c>
      <c r="G9" s="499" t="s">
        <v>700</v>
      </c>
      <c r="H9" s="499" t="s">
        <v>700</v>
      </c>
      <c r="I9" s="499">
        <v>0</v>
      </c>
      <c r="J9" s="499">
        <v>0</v>
      </c>
      <c r="K9" s="499">
        <v>0</v>
      </c>
      <c r="L9" s="500" t="s">
        <v>708</v>
      </c>
      <c r="M9" s="500" t="s">
        <v>718</v>
      </c>
      <c r="N9" s="501">
        <v>1</v>
      </c>
      <c r="O9" s="502" t="s">
        <v>750</v>
      </c>
      <c r="P9" s="504"/>
      <c r="R9" s="504">
        <f t="shared" si="1"/>
        <v>1</v>
      </c>
      <c r="S9" s="504">
        <f t="shared" si="1"/>
        <v>0</v>
      </c>
      <c r="T9" s="504">
        <f t="shared" si="2"/>
        <v>1</v>
      </c>
      <c r="U9" s="504">
        <f t="shared" si="2"/>
        <v>1</v>
      </c>
      <c r="V9" s="504">
        <f t="shared" si="2"/>
        <v>0</v>
      </c>
      <c r="W9" s="504">
        <f t="shared" si="2"/>
        <v>0</v>
      </c>
      <c r="X9" s="504">
        <f t="shared" si="2"/>
        <v>0</v>
      </c>
    </row>
    <row r="10" spans="1:24" s="503" customFormat="1" ht="35.25" customHeight="1" outlineLevel="1" x14ac:dyDescent="0.5">
      <c r="A10" s="481"/>
      <c r="B10" s="481"/>
      <c r="C10" s="505" t="s">
        <v>703</v>
      </c>
      <c r="D10" s="506" t="str">
        <f>VLOOKUP(C4,overview_of_services!$B$2:$I$88,6,FALSE)</f>
        <v>Individual room control REF</v>
      </c>
      <c r="E10" s="499" t="s">
        <v>700</v>
      </c>
      <c r="F10" s="499">
        <v>0</v>
      </c>
      <c r="G10" s="499" t="s">
        <v>700</v>
      </c>
      <c r="H10" s="499" t="s">
        <v>700</v>
      </c>
      <c r="I10" s="499">
        <v>0</v>
      </c>
      <c r="J10" s="499">
        <v>0</v>
      </c>
      <c r="K10" s="499">
        <v>0</v>
      </c>
      <c r="L10" s="500" t="s">
        <v>708</v>
      </c>
      <c r="M10" s="500" t="s">
        <v>718</v>
      </c>
      <c r="N10" s="501">
        <v>1</v>
      </c>
      <c r="O10" s="502" t="s">
        <v>751</v>
      </c>
      <c r="P10" s="504"/>
      <c r="R10" s="504">
        <f t="shared" si="1"/>
        <v>1</v>
      </c>
      <c r="S10" s="504">
        <f t="shared" si="1"/>
        <v>0</v>
      </c>
      <c r="T10" s="504">
        <f t="shared" si="2"/>
        <v>1</v>
      </c>
      <c r="U10" s="504">
        <f t="shared" si="2"/>
        <v>1</v>
      </c>
      <c r="V10" s="504">
        <f t="shared" si="2"/>
        <v>0</v>
      </c>
      <c r="W10" s="504">
        <f t="shared" si="2"/>
        <v>0</v>
      </c>
      <c r="X10" s="504">
        <f t="shared" si="2"/>
        <v>0</v>
      </c>
    </row>
    <row r="11" spans="1:24" s="503" customFormat="1" ht="35.25" customHeight="1" outlineLevel="1" x14ac:dyDescent="0.5">
      <c r="A11" s="481"/>
      <c r="B11" s="481"/>
      <c r="C11" s="505" t="s">
        <v>706</v>
      </c>
      <c r="D11" s="506" t="str">
        <f>VLOOKUP(C4,overview_of_services!$B$2:$I$88,7,FALSE)</f>
        <v>Individual room control with communication between controllers and to BACS</v>
      </c>
      <c r="E11" s="499" t="s">
        <v>704</v>
      </c>
      <c r="F11" s="499">
        <v>0</v>
      </c>
      <c r="G11" s="499" t="s">
        <v>704</v>
      </c>
      <c r="H11" s="499" t="s">
        <v>707</v>
      </c>
      <c r="I11" s="499">
        <v>0</v>
      </c>
      <c r="J11" s="499" t="s">
        <v>700</v>
      </c>
      <c r="K11" s="499">
        <v>0</v>
      </c>
      <c r="L11" s="500" t="s">
        <v>708</v>
      </c>
      <c r="M11" s="500" t="s">
        <v>718</v>
      </c>
      <c r="N11" s="501">
        <v>2</v>
      </c>
      <c r="O11" s="502" t="s">
        <v>709</v>
      </c>
      <c r="P11" s="504"/>
      <c r="R11" s="504">
        <f t="shared" si="1"/>
        <v>2</v>
      </c>
      <c r="S11" s="504">
        <f t="shared" si="1"/>
        <v>0</v>
      </c>
      <c r="T11" s="504">
        <f t="shared" si="2"/>
        <v>2</v>
      </c>
      <c r="U11" s="504">
        <f t="shared" si="2"/>
        <v>3</v>
      </c>
      <c r="V11" s="504">
        <f t="shared" si="2"/>
        <v>0</v>
      </c>
      <c r="W11" s="504">
        <f t="shared" si="2"/>
        <v>1</v>
      </c>
      <c r="X11" s="504">
        <f t="shared" si="2"/>
        <v>0</v>
      </c>
    </row>
    <row r="12" spans="1:24" s="503" customFormat="1" ht="35.25" customHeight="1" outlineLevel="1" x14ac:dyDescent="0.5">
      <c r="A12" s="481"/>
      <c r="B12" s="481"/>
      <c r="C12" s="505" t="s">
        <v>710</v>
      </c>
      <c r="D12" s="506" t="str">
        <f>VLOOKUP(C4,overview_of_services!$B$2:$I$88,8,FALSE)</f>
        <v>Individual room control with communication and presence control</v>
      </c>
      <c r="E12" s="507" t="s">
        <v>707</v>
      </c>
      <c r="F12" s="499">
        <v>0</v>
      </c>
      <c r="G12" s="499" t="s">
        <v>704</v>
      </c>
      <c r="H12" s="499" t="s">
        <v>707</v>
      </c>
      <c r="I12" s="499">
        <v>0</v>
      </c>
      <c r="J12" s="499" t="s">
        <v>700</v>
      </c>
      <c r="K12" s="499">
        <v>0</v>
      </c>
      <c r="L12" s="500" t="s">
        <v>708</v>
      </c>
      <c r="M12" s="500" t="s">
        <v>718</v>
      </c>
      <c r="N12" s="501">
        <v>2</v>
      </c>
      <c r="O12" s="502" t="str">
        <f>O11</f>
        <v>room control units and communication</v>
      </c>
      <c r="P12" s="504"/>
      <c r="R12" s="504">
        <f t="shared" si="1"/>
        <v>3</v>
      </c>
      <c r="S12" s="504">
        <f t="shared" si="1"/>
        <v>0</v>
      </c>
      <c r="T12" s="504">
        <f t="shared" si="2"/>
        <v>2</v>
      </c>
      <c r="U12" s="504">
        <f t="shared" si="2"/>
        <v>3</v>
      </c>
      <c r="V12" s="504">
        <f t="shared" si="2"/>
        <v>0</v>
      </c>
      <c r="W12" s="504">
        <f t="shared" si="2"/>
        <v>1</v>
      </c>
      <c r="X12" s="504">
        <f t="shared" si="2"/>
        <v>0</v>
      </c>
    </row>
    <row r="13" spans="1:24" s="503" customFormat="1" ht="6" customHeight="1" outlineLevel="2" thickBot="1" x14ac:dyDescent="0.4">
      <c r="A13" s="481"/>
      <c r="B13" s="481"/>
      <c r="C13" s="504"/>
      <c r="D13" s="504"/>
      <c r="E13" s="508"/>
      <c r="F13" s="508"/>
      <c r="G13" s="508"/>
      <c r="H13" s="508"/>
      <c r="I13" s="508"/>
      <c r="J13" s="508"/>
      <c r="K13" s="508"/>
      <c r="L13" s="504"/>
      <c r="M13" s="504"/>
      <c r="N13" s="504"/>
      <c r="O13" s="508"/>
      <c r="P13" s="504"/>
    </row>
    <row r="14" spans="1:24" s="503" customFormat="1" ht="30.75" customHeight="1" outlineLevel="2" thickBot="1" x14ac:dyDescent="0.4">
      <c r="A14" s="481"/>
      <c r="B14" s="481"/>
      <c r="C14" s="509"/>
      <c r="D14" s="509" t="s">
        <v>712</v>
      </c>
      <c r="E14" s="510" t="s">
        <v>729</v>
      </c>
      <c r="F14" s="511" t="s">
        <v>729</v>
      </c>
      <c r="G14" s="511" t="s">
        <v>729</v>
      </c>
      <c r="H14" s="511" t="s">
        <v>729</v>
      </c>
      <c r="I14" s="511" t="s">
        <v>729</v>
      </c>
      <c r="J14" s="511" t="s">
        <v>729</v>
      </c>
      <c r="K14" s="511" t="s">
        <v>729</v>
      </c>
      <c r="L14" s="511" t="s">
        <v>729</v>
      </c>
      <c r="M14" s="511" t="s">
        <v>729</v>
      </c>
      <c r="N14" s="511" t="s">
        <v>729</v>
      </c>
      <c r="O14" s="511" t="s">
        <v>729</v>
      </c>
      <c r="P14" s="504"/>
    </row>
    <row r="15" spans="1:24" s="503" customFormat="1" ht="30.75" customHeight="1" outlineLevel="2" thickBot="1" x14ac:dyDescent="0.4">
      <c r="A15" s="481"/>
      <c r="B15" s="481"/>
      <c r="C15" s="509"/>
      <c r="D15" s="509" t="s">
        <v>714</v>
      </c>
      <c r="E15" s="510" t="s">
        <v>30</v>
      </c>
      <c r="F15" s="512"/>
      <c r="G15" s="511"/>
      <c r="H15" s="511"/>
      <c r="I15" s="511"/>
      <c r="J15" s="511"/>
      <c r="K15" s="511"/>
      <c r="L15" s="510"/>
      <c r="M15" s="510"/>
      <c r="N15" s="513"/>
      <c r="O15" s="510"/>
      <c r="P15" s="504"/>
    </row>
    <row r="16" spans="1:24" ht="20.25" customHeight="1" outlineLevel="1" thickBot="1" x14ac:dyDescent="0.4">
      <c r="C16" s="481"/>
      <c r="D16" s="481"/>
      <c r="E16" s="481"/>
      <c r="F16" s="481"/>
      <c r="G16" s="482"/>
      <c r="H16" s="482"/>
      <c r="I16" s="482"/>
      <c r="J16" s="482"/>
      <c r="K16" s="482"/>
      <c r="L16" s="482"/>
      <c r="M16" s="482"/>
      <c r="N16" s="482"/>
      <c r="O16" s="482"/>
      <c r="P16" s="481"/>
    </row>
    <row r="17" spans="1:24" ht="17.25" customHeight="1" thickBot="1" x14ac:dyDescent="0.4">
      <c r="C17" s="483" t="s">
        <v>677</v>
      </c>
      <c r="D17" s="484" t="s">
        <v>678</v>
      </c>
      <c r="E17" s="481"/>
      <c r="F17" s="481"/>
      <c r="G17" s="482"/>
      <c r="H17" s="482"/>
      <c r="I17" s="482"/>
      <c r="J17" s="482"/>
      <c r="K17" s="482"/>
      <c r="L17" s="482"/>
      <c r="M17" s="482"/>
      <c r="N17" s="482"/>
      <c r="O17" s="482"/>
      <c r="P17" s="481"/>
    </row>
    <row r="18" spans="1:24" s="492" customFormat="1" ht="36.75" customHeight="1" thickBot="1" x14ac:dyDescent="0.7">
      <c r="A18" s="481"/>
      <c r="B18" s="486" t="s">
        <v>679</v>
      </c>
      <c r="C18" s="487" t="s">
        <v>190</v>
      </c>
      <c r="D18" s="514" t="str">
        <f>VLOOKUP(C18,overview_of_services!$B$2:$I$88,3,FALSE)</f>
        <v>Emission control for TABS (cooling mode)</v>
      </c>
      <c r="E18" s="489"/>
      <c r="F18" s="490" t="s">
        <v>680</v>
      </c>
      <c r="G18" s="578" t="str">
        <f>VLOOKUP(C18,overview_of_services!$B$2:$I$88,2,FALSE)</f>
        <v>Cooling control - demand side</v>
      </c>
      <c r="H18" s="578"/>
      <c r="I18" s="490"/>
      <c r="J18" s="491"/>
      <c r="K18" s="491"/>
      <c r="L18" s="491"/>
      <c r="M18" s="491"/>
      <c r="N18" s="491"/>
      <c r="O18" s="491"/>
      <c r="R18" s="492" t="s">
        <v>681</v>
      </c>
      <c r="S18" s="492">
        <f>ROW()</f>
        <v>18</v>
      </c>
    </row>
    <row r="19" spans="1:24" ht="5.25" customHeight="1" x14ac:dyDescent="0.35">
      <c r="C19" s="493"/>
      <c r="D19" s="493"/>
      <c r="E19" s="493"/>
      <c r="F19" s="493"/>
      <c r="G19" s="493"/>
      <c r="H19" s="493"/>
      <c r="I19" s="493"/>
      <c r="J19" s="493"/>
      <c r="K19" s="493"/>
      <c r="L19" s="493"/>
      <c r="M19" s="493"/>
      <c r="N19" s="493"/>
      <c r="O19" s="494"/>
      <c r="P19" s="481"/>
    </row>
    <row r="20" spans="1:24" ht="20.25" customHeight="1" outlineLevel="1" x14ac:dyDescent="0.35">
      <c r="C20" s="575" t="s">
        <v>682</v>
      </c>
      <c r="D20" s="575"/>
      <c r="E20" s="577" t="s">
        <v>683</v>
      </c>
      <c r="F20" s="577"/>
      <c r="G20" s="577"/>
      <c r="H20" s="577"/>
      <c r="I20" s="577"/>
      <c r="J20" s="577"/>
      <c r="K20" s="577"/>
      <c r="L20" s="573" t="s">
        <v>684</v>
      </c>
      <c r="M20" s="574"/>
      <c r="N20" s="569" t="s">
        <v>685</v>
      </c>
      <c r="O20" s="571" t="s">
        <v>686</v>
      </c>
      <c r="P20" s="481"/>
    </row>
    <row r="21" spans="1:24" ht="36.75" customHeight="1" outlineLevel="1" thickBot="1" x14ac:dyDescent="0.4">
      <c r="C21" s="576"/>
      <c r="D21" s="576"/>
      <c r="E21" s="495" t="s">
        <v>687</v>
      </c>
      <c r="F21" s="495" t="s">
        <v>688</v>
      </c>
      <c r="G21" s="495" t="s">
        <v>689</v>
      </c>
      <c r="H21" s="495" t="s">
        <v>690</v>
      </c>
      <c r="I21" s="495" t="s">
        <v>616</v>
      </c>
      <c r="J21" s="495" t="s">
        <v>691</v>
      </c>
      <c r="K21" s="495" t="s">
        <v>692</v>
      </c>
      <c r="L21" s="496" t="s">
        <v>693</v>
      </c>
      <c r="M21" s="496" t="s">
        <v>694</v>
      </c>
      <c r="N21" s="570"/>
      <c r="O21" s="572"/>
      <c r="P21" s="481"/>
    </row>
    <row r="22" spans="1:24" s="503" customFormat="1" ht="35.25" customHeight="1" outlineLevel="1" thickTop="1" x14ac:dyDescent="0.5">
      <c r="A22" s="481"/>
      <c r="B22" s="481"/>
      <c r="C22" s="497" t="s">
        <v>695</v>
      </c>
      <c r="D22" s="498" t="str">
        <f>VLOOKUP(C18,overview_of_services!$B$2:$I$88,4,FALSE)</f>
        <v>No automatic control</v>
      </c>
      <c r="E22" s="499">
        <v>0</v>
      </c>
      <c r="F22" s="499">
        <v>0</v>
      </c>
      <c r="G22" s="499">
        <v>0</v>
      </c>
      <c r="H22" s="499">
        <v>0</v>
      </c>
      <c r="I22" s="499">
        <v>0</v>
      </c>
      <c r="J22" s="499">
        <v>0</v>
      </c>
      <c r="K22" s="499">
        <v>0</v>
      </c>
      <c r="L22" s="500" t="s">
        <v>696</v>
      </c>
      <c r="M22" s="500" t="s">
        <v>696</v>
      </c>
      <c r="N22" s="501">
        <v>0</v>
      </c>
      <c r="O22" s="502" t="s">
        <v>697</v>
      </c>
      <c r="P22" s="504"/>
      <c r="R22" s="504">
        <f t="shared" ref="R22:S26" si="3">IF(E22=0,0,(IF(E22="+",1,(IF(E22="++",2,(IF(E22="+++",3,(IF(E22="++++",4,(IF(E22="-",-1,(IF(E22="--",-2,(IF(E22="---",-3,(IF(E22="----",-4,"NA")))))))))))))))))</f>
        <v>0</v>
      </c>
      <c r="S22" s="504">
        <f t="shared" si="3"/>
        <v>0</v>
      </c>
      <c r="T22" s="504">
        <f t="shared" ref="T22:X26" si="4">IF(G22=0,0,(IF(G22="+",1,(IF(G22="++",2,(IF(G22="+++",3,(IF(G22="++++",4,(IF(G22="-",-1,(IF(G22="--",-2,(IF(G22="---",-3,(IF(G22="----",-4,"NA")))))))))))))))))</f>
        <v>0</v>
      </c>
      <c r="U22" s="504">
        <f t="shared" si="4"/>
        <v>0</v>
      </c>
      <c r="V22" s="504">
        <f t="shared" si="4"/>
        <v>0</v>
      </c>
      <c r="W22" s="504">
        <f t="shared" si="4"/>
        <v>0</v>
      </c>
      <c r="X22" s="504">
        <f t="shared" si="4"/>
        <v>0</v>
      </c>
    </row>
    <row r="23" spans="1:24" s="503" customFormat="1" ht="29" outlineLevel="1" x14ac:dyDescent="0.5">
      <c r="A23" s="481"/>
      <c r="B23" s="481"/>
      <c r="C23" s="505" t="s">
        <v>699</v>
      </c>
      <c r="D23" s="506" t="str">
        <f>VLOOKUP(C18,overview_of_services!$B$2:$I$88,5,FALSE)</f>
        <v>Central automatic control</v>
      </c>
      <c r="E23" s="499" t="s">
        <v>700</v>
      </c>
      <c r="F23" s="499">
        <v>0</v>
      </c>
      <c r="G23" s="499" t="s">
        <v>700</v>
      </c>
      <c r="H23" s="499" t="s">
        <v>700</v>
      </c>
      <c r="I23" s="499">
        <v>0</v>
      </c>
      <c r="J23" s="499">
        <v>0</v>
      </c>
      <c r="K23" s="499">
        <v>0</v>
      </c>
      <c r="L23" s="500" t="s">
        <v>708</v>
      </c>
      <c r="M23" s="500" t="s">
        <v>708</v>
      </c>
      <c r="N23" s="501">
        <v>1</v>
      </c>
      <c r="O23" s="502" t="s">
        <v>752</v>
      </c>
      <c r="P23" s="504"/>
      <c r="R23" s="504">
        <f t="shared" si="3"/>
        <v>1</v>
      </c>
      <c r="S23" s="504">
        <f t="shared" si="3"/>
        <v>0</v>
      </c>
      <c r="T23" s="504">
        <f t="shared" si="4"/>
        <v>1</v>
      </c>
      <c r="U23" s="504">
        <f t="shared" si="4"/>
        <v>1</v>
      </c>
      <c r="V23" s="504">
        <f t="shared" si="4"/>
        <v>0</v>
      </c>
      <c r="W23" s="504">
        <f t="shared" si="4"/>
        <v>0</v>
      </c>
      <c r="X23" s="504">
        <f t="shared" si="4"/>
        <v>0</v>
      </c>
    </row>
    <row r="24" spans="1:24" s="503" customFormat="1" ht="58" outlineLevel="1" x14ac:dyDescent="0.5">
      <c r="A24" s="481"/>
      <c r="B24" s="481"/>
      <c r="C24" s="505" t="s">
        <v>703</v>
      </c>
      <c r="D24" s="506" t="str">
        <f>VLOOKUP(C18,overview_of_services!$B$2:$I$88,6,FALSE)</f>
        <v>Advanced central automatic control</v>
      </c>
      <c r="E24" s="499" t="s">
        <v>700</v>
      </c>
      <c r="F24" s="499">
        <v>0</v>
      </c>
      <c r="G24" s="499" t="s">
        <v>700</v>
      </c>
      <c r="H24" s="499" t="s">
        <v>700</v>
      </c>
      <c r="I24" s="499">
        <v>0</v>
      </c>
      <c r="J24" s="499">
        <v>0</v>
      </c>
      <c r="K24" s="499">
        <v>0</v>
      </c>
      <c r="L24" s="500" t="s">
        <v>708</v>
      </c>
      <c r="M24" s="500" t="s">
        <v>708</v>
      </c>
      <c r="N24" s="501">
        <v>1</v>
      </c>
      <c r="O24" s="502" t="s">
        <v>753</v>
      </c>
      <c r="P24" s="504"/>
      <c r="R24" s="504">
        <f t="shared" si="3"/>
        <v>1</v>
      </c>
      <c r="S24" s="504">
        <f t="shared" si="3"/>
        <v>0</v>
      </c>
      <c r="T24" s="504">
        <f t="shared" si="4"/>
        <v>1</v>
      </c>
      <c r="U24" s="504">
        <f t="shared" si="4"/>
        <v>1</v>
      </c>
      <c r="V24" s="504">
        <f t="shared" si="4"/>
        <v>0</v>
      </c>
      <c r="W24" s="504">
        <f t="shared" si="4"/>
        <v>0</v>
      </c>
      <c r="X24" s="504">
        <f t="shared" si="4"/>
        <v>0</v>
      </c>
    </row>
    <row r="25" spans="1:24" s="503" customFormat="1" ht="58" outlineLevel="1" x14ac:dyDescent="0.5">
      <c r="A25" s="481"/>
      <c r="B25" s="481"/>
      <c r="C25" s="505" t="s">
        <v>706</v>
      </c>
      <c r="D25" s="506" t="str">
        <f>VLOOKUP(C18,overview_of_services!$B$2:$I$88,7,FALSE)</f>
        <v>Advanced central automatic control with intermittent operation and/or room temperature feedback control</v>
      </c>
      <c r="E25" s="499" t="s">
        <v>704</v>
      </c>
      <c r="F25" s="499">
        <v>0</v>
      </c>
      <c r="G25" s="499" t="s">
        <v>704</v>
      </c>
      <c r="H25" s="507" t="s">
        <v>704</v>
      </c>
      <c r="I25" s="499">
        <v>0</v>
      </c>
      <c r="J25" s="499" t="s">
        <v>700</v>
      </c>
      <c r="K25" s="499" t="s">
        <v>700</v>
      </c>
      <c r="L25" s="500" t="s">
        <v>708</v>
      </c>
      <c r="M25" s="500" t="s">
        <v>708</v>
      </c>
      <c r="N25" s="501">
        <v>2</v>
      </c>
      <c r="O25" s="502" t="s">
        <v>754</v>
      </c>
      <c r="P25" s="504"/>
      <c r="R25" s="504">
        <f t="shared" si="3"/>
        <v>2</v>
      </c>
      <c r="S25" s="504">
        <f t="shared" si="3"/>
        <v>0</v>
      </c>
      <c r="T25" s="504">
        <f t="shared" si="4"/>
        <v>2</v>
      </c>
      <c r="U25" s="504">
        <f t="shared" si="4"/>
        <v>2</v>
      </c>
      <c r="V25" s="504">
        <f t="shared" si="4"/>
        <v>0</v>
      </c>
      <c r="W25" s="504">
        <f t="shared" si="4"/>
        <v>1</v>
      </c>
      <c r="X25" s="504">
        <f t="shared" si="4"/>
        <v>1</v>
      </c>
    </row>
    <row r="26" spans="1:24" s="503" customFormat="1" ht="35.25" customHeight="1" outlineLevel="1" x14ac:dyDescent="0.35">
      <c r="A26" s="481"/>
      <c r="B26" s="481"/>
      <c r="C26" s="505" t="s">
        <v>710</v>
      </c>
      <c r="D26" s="506">
        <f>VLOOKUP(C18,overview_of_services!$B$2:$I$88,8,FALSE)</f>
        <v>0</v>
      </c>
      <c r="E26" s="524"/>
      <c r="F26" s="515"/>
      <c r="G26" s="524"/>
      <c r="H26" s="524"/>
      <c r="I26" s="515"/>
      <c r="J26" s="515"/>
      <c r="K26" s="515"/>
      <c r="L26" s="500"/>
      <c r="M26" s="500"/>
      <c r="N26" s="501"/>
      <c r="O26" s="502"/>
      <c r="P26" s="504"/>
      <c r="R26" s="504">
        <f t="shared" si="3"/>
        <v>0</v>
      </c>
      <c r="S26" s="504">
        <f t="shared" si="3"/>
        <v>0</v>
      </c>
      <c r="T26" s="504">
        <f t="shared" si="4"/>
        <v>0</v>
      </c>
      <c r="U26" s="504">
        <f t="shared" si="4"/>
        <v>0</v>
      </c>
      <c r="V26" s="504">
        <f t="shared" si="4"/>
        <v>0</v>
      </c>
      <c r="W26" s="504">
        <f t="shared" si="4"/>
        <v>0</v>
      </c>
      <c r="X26" s="504">
        <f t="shared" si="4"/>
        <v>0</v>
      </c>
    </row>
    <row r="27" spans="1:24" s="503" customFormat="1" ht="6" customHeight="1" outlineLevel="2" thickBot="1" x14ac:dyDescent="0.4">
      <c r="A27" s="481"/>
      <c r="B27" s="481"/>
      <c r="C27" s="504"/>
      <c r="D27" s="504"/>
      <c r="E27" s="508"/>
      <c r="F27" s="508"/>
      <c r="G27" s="508"/>
      <c r="H27" s="508"/>
      <c r="I27" s="508"/>
      <c r="J27" s="508"/>
      <c r="K27" s="508"/>
      <c r="L27" s="504"/>
      <c r="M27" s="504"/>
      <c r="N27" s="504"/>
      <c r="O27" s="508"/>
      <c r="P27" s="504"/>
    </row>
    <row r="28" spans="1:24" s="503" customFormat="1" ht="30.75" customHeight="1" outlineLevel="2" thickBot="1" x14ac:dyDescent="0.4">
      <c r="A28" s="481"/>
      <c r="B28" s="481"/>
      <c r="C28" s="509"/>
      <c r="D28" s="509" t="s">
        <v>712</v>
      </c>
      <c r="E28" s="510" t="s">
        <v>729</v>
      </c>
      <c r="F28" s="511" t="s">
        <v>729</v>
      </c>
      <c r="G28" s="511" t="s">
        <v>729</v>
      </c>
      <c r="H28" s="511" t="s">
        <v>729</v>
      </c>
      <c r="I28" s="511" t="s">
        <v>729</v>
      </c>
      <c r="J28" s="511" t="s">
        <v>729</v>
      </c>
      <c r="K28" s="511" t="s">
        <v>729</v>
      </c>
      <c r="L28" s="511" t="s">
        <v>729</v>
      </c>
      <c r="M28" s="511" t="s">
        <v>729</v>
      </c>
      <c r="N28" s="511" t="s">
        <v>729</v>
      </c>
      <c r="O28" s="511" t="s">
        <v>729</v>
      </c>
      <c r="P28" s="504"/>
    </row>
    <row r="29" spans="1:24" s="503" customFormat="1" ht="30.75" customHeight="1" outlineLevel="2" thickBot="1" x14ac:dyDescent="0.4">
      <c r="A29" s="481"/>
      <c r="B29" s="481"/>
      <c r="C29" s="509"/>
      <c r="D29" s="509" t="s">
        <v>714</v>
      </c>
      <c r="E29" s="510" t="s">
        <v>30</v>
      </c>
      <c r="F29" s="512"/>
      <c r="G29" s="511"/>
      <c r="H29" s="511"/>
      <c r="I29" s="511"/>
      <c r="J29" s="511"/>
      <c r="K29" s="511"/>
      <c r="L29" s="510"/>
      <c r="M29" s="510"/>
      <c r="N29" s="513"/>
      <c r="O29" s="510"/>
      <c r="P29" s="504"/>
    </row>
    <row r="30" spans="1:24" ht="20.25" customHeight="1" outlineLevel="1" thickBot="1" x14ac:dyDescent="0.4">
      <c r="C30" s="481"/>
      <c r="D30" s="481"/>
      <c r="E30" s="481"/>
      <c r="F30" s="481"/>
      <c r="G30" s="482"/>
      <c r="H30" s="482"/>
      <c r="I30" s="482"/>
      <c r="J30" s="482"/>
      <c r="K30" s="482"/>
      <c r="L30" s="482"/>
      <c r="M30" s="482"/>
      <c r="N30" s="482"/>
      <c r="O30" s="482"/>
      <c r="P30" s="481"/>
    </row>
    <row r="31" spans="1:24" ht="17.25" customHeight="1" thickBot="1" x14ac:dyDescent="0.4">
      <c r="C31" s="483" t="s">
        <v>677</v>
      </c>
      <c r="D31" s="484" t="s">
        <v>678</v>
      </c>
      <c r="E31" s="481"/>
      <c r="F31" s="481"/>
      <c r="G31" s="482"/>
      <c r="H31" s="482"/>
      <c r="I31" s="482"/>
      <c r="J31" s="482"/>
      <c r="K31" s="482"/>
      <c r="L31" s="482"/>
      <c r="M31" s="482"/>
      <c r="N31" s="482"/>
      <c r="O31" s="482"/>
      <c r="P31" s="481"/>
    </row>
    <row r="32" spans="1:24" s="492" customFormat="1" ht="36.75" customHeight="1" thickBot="1" x14ac:dyDescent="0.7">
      <c r="A32" s="481"/>
      <c r="B32" s="486" t="s">
        <v>679</v>
      </c>
      <c r="C32" s="487" t="s">
        <v>194</v>
      </c>
      <c r="D32" s="514" t="str">
        <f>VLOOKUP(C32,overview_of_services!$B$2:$I$88,3,FALSE)</f>
        <v>Control of distribution network chilled water temperature (supply or return)</v>
      </c>
      <c r="E32" s="489"/>
      <c r="F32" s="490" t="s">
        <v>680</v>
      </c>
      <c r="G32" s="578" t="str">
        <f>VLOOKUP(C32,overview_of_services!$B$2:$I$88,2,FALSE)</f>
        <v>Cooling control - demand side</v>
      </c>
      <c r="H32" s="578"/>
      <c r="I32" s="490"/>
      <c r="J32" s="491"/>
      <c r="K32" s="491"/>
      <c r="L32" s="491"/>
      <c r="M32" s="491"/>
      <c r="N32" s="491"/>
      <c r="O32" s="491"/>
      <c r="R32" s="492" t="s">
        <v>681</v>
      </c>
      <c r="S32" s="492">
        <f>ROW()</f>
        <v>32</v>
      </c>
    </row>
    <row r="33" spans="1:24" ht="5.25" customHeight="1" x14ac:dyDescent="0.35">
      <c r="C33" s="493"/>
      <c r="D33" s="493"/>
      <c r="E33" s="493"/>
      <c r="F33" s="493"/>
      <c r="G33" s="493"/>
      <c r="H33" s="493"/>
      <c r="I33" s="493"/>
      <c r="J33" s="493"/>
      <c r="K33" s="493"/>
      <c r="L33" s="493"/>
      <c r="M33" s="493"/>
      <c r="N33" s="493"/>
      <c r="O33" s="494"/>
      <c r="P33" s="481"/>
    </row>
    <row r="34" spans="1:24" ht="20.25" customHeight="1" outlineLevel="1" x14ac:dyDescent="0.35">
      <c r="C34" s="575" t="s">
        <v>682</v>
      </c>
      <c r="D34" s="575"/>
      <c r="E34" s="577" t="s">
        <v>683</v>
      </c>
      <c r="F34" s="577"/>
      <c r="G34" s="577"/>
      <c r="H34" s="577"/>
      <c r="I34" s="577"/>
      <c r="J34" s="577"/>
      <c r="K34" s="577"/>
      <c r="L34" s="573" t="s">
        <v>684</v>
      </c>
      <c r="M34" s="574"/>
      <c r="N34" s="569" t="s">
        <v>685</v>
      </c>
      <c r="O34" s="571" t="s">
        <v>686</v>
      </c>
      <c r="P34" s="481"/>
    </row>
    <row r="35" spans="1:24" ht="36.75" customHeight="1" outlineLevel="1" thickBot="1" x14ac:dyDescent="0.4">
      <c r="C35" s="576"/>
      <c r="D35" s="576"/>
      <c r="E35" s="495" t="s">
        <v>687</v>
      </c>
      <c r="F35" s="495" t="s">
        <v>688</v>
      </c>
      <c r="G35" s="495" t="s">
        <v>689</v>
      </c>
      <c r="H35" s="495" t="s">
        <v>690</v>
      </c>
      <c r="I35" s="495" t="s">
        <v>616</v>
      </c>
      <c r="J35" s="495" t="s">
        <v>691</v>
      </c>
      <c r="K35" s="495" t="s">
        <v>692</v>
      </c>
      <c r="L35" s="496" t="s">
        <v>693</v>
      </c>
      <c r="M35" s="496" t="s">
        <v>694</v>
      </c>
      <c r="N35" s="570"/>
      <c r="O35" s="572"/>
      <c r="P35" s="481"/>
    </row>
    <row r="36" spans="1:24" s="503" customFormat="1" ht="35.25" customHeight="1" outlineLevel="1" thickTop="1" x14ac:dyDescent="0.5">
      <c r="A36" s="481"/>
      <c r="B36" s="481"/>
      <c r="C36" s="497" t="s">
        <v>695</v>
      </c>
      <c r="D36" s="498" t="str">
        <f>VLOOKUP(C32,overview_of_services!$B$2:$I$88,4,FALSE)</f>
        <v>Constant temperature control</v>
      </c>
      <c r="E36" s="499">
        <v>0</v>
      </c>
      <c r="F36" s="499">
        <v>0</v>
      </c>
      <c r="G36" s="499">
        <v>0</v>
      </c>
      <c r="H36" s="499">
        <v>0</v>
      </c>
      <c r="I36" s="499">
        <v>0</v>
      </c>
      <c r="J36" s="499">
        <v>0</v>
      </c>
      <c r="K36" s="499">
        <v>0</v>
      </c>
      <c r="L36" s="500" t="s">
        <v>696</v>
      </c>
      <c r="M36" s="500" t="s">
        <v>696</v>
      </c>
      <c r="N36" s="501">
        <v>0</v>
      </c>
      <c r="O36" s="502" t="s">
        <v>697</v>
      </c>
      <c r="P36" s="504"/>
      <c r="R36" s="504">
        <f t="shared" ref="R36:S40" si="5">IF(E36=0,0,(IF(E36="+",1,(IF(E36="++",2,(IF(E36="+++",3,(IF(E36="++++",4,(IF(E36="-",-1,(IF(E36="--",-2,(IF(E36="---",-3,(IF(E36="----",-4,"NA")))))))))))))))))</f>
        <v>0</v>
      </c>
      <c r="S36" s="504">
        <f t="shared" si="5"/>
        <v>0</v>
      </c>
      <c r="T36" s="504">
        <f t="shared" ref="T36:X40" si="6">IF(G36=0,0,(IF(G36="+",1,(IF(G36="++",2,(IF(G36="+++",3,(IF(G36="++++",4,(IF(G36="-",-1,(IF(G36="--",-2,(IF(G36="---",-3,(IF(G36="----",-4,"NA")))))))))))))))))</f>
        <v>0</v>
      </c>
      <c r="U36" s="504">
        <f t="shared" si="6"/>
        <v>0</v>
      </c>
      <c r="V36" s="504">
        <f t="shared" si="6"/>
        <v>0</v>
      </c>
      <c r="W36" s="504">
        <f t="shared" si="6"/>
        <v>0</v>
      </c>
      <c r="X36" s="504">
        <f t="shared" si="6"/>
        <v>0</v>
      </c>
    </row>
    <row r="37" spans="1:24" s="503" customFormat="1" ht="43.5" outlineLevel="1" x14ac:dyDescent="0.5">
      <c r="A37" s="481"/>
      <c r="B37" s="481"/>
      <c r="C37" s="505" t="s">
        <v>699</v>
      </c>
      <c r="D37" s="506" t="str">
        <f>VLOOKUP(C32,overview_of_services!$B$2:$I$88,5,FALSE)</f>
        <v>Outside temperature compensated control</v>
      </c>
      <c r="E37" s="499" t="s">
        <v>700</v>
      </c>
      <c r="F37" s="499">
        <v>0</v>
      </c>
      <c r="G37" s="499" t="s">
        <v>700</v>
      </c>
      <c r="H37" s="499" t="s">
        <v>700</v>
      </c>
      <c r="I37" s="499">
        <v>0</v>
      </c>
      <c r="J37" s="499">
        <v>0</v>
      </c>
      <c r="K37" s="499">
        <v>0</v>
      </c>
      <c r="L37" s="500" t="s">
        <v>708</v>
      </c>
      <c r="M37" s="500" t="s">
        <v>718</v>
      </c>
      <c r="N37" s="501">
        <v>1</v>
      </c>
      <c r="O37" s="502" t="s">
        <v>719</v>
      </c>
      <c r="P37" s="504"/>
      <c r="R37" s="504">
        <f t="shared" si="5"/>
        <v>1</v>
      </c>
      <c r="S37" s="504">
        <f t="shared" si="5"/>
        <v>0</v>
      </c>
      <c r="T37" s="504">
        <f t="shared" si="6"/>
        <v>1</v>
      </c>
      <c r="U37" s="504">
        <f t="shared" si="6"/>
        <v>1</v>
      </c>
      <c r="V37" s="504">
        <f t="shared" si="6"/>
        <v>0</v>
      </c>
      <c r="W37" s="504">
        <f t="shared" si="6"/>
        <v>0</v>
      </c>
      <c r="X37" s="504">
        <f t="shared" si="6"/>
        <v>0</v>
      </c>
    </row>
    <row r="38" spans="1:24" s="503" customFormat="1" ht="29" outlineLevel="1" x14ac:dyDescent="0.5">
      <c r="A38" s="481"/>
      <c r="B38" s="481"/>
      <c r="C38" s="505" t="s">
        <v>703</v>
      </c>
      <c r="D38" s="506" t="str">
        <f>VLOOKUP(C32,overview_of_services!$B$2:$I$88,6,FALSE)</f>
        <v>Demand based control</v>
      </c>
      <c r="E38" s="499" t="s">
        <v>704</v>
      </c>
      <c r="F38" s="499">
        <v>0</v>
      </c>
      <c r="G38" s="507" t="s">
        <v>704</v>
      </c>
      <c r="H38" s="507" t="s">
        <v>704</v>
      </c>
      <c r="I38" s="499">
        <v>0</v>
      </c>
      <c r="J38" s="499">
        <v>0</v>
      </c>
      <c r="K38" s="499">
        <v>0</v>
      </c>
      <c r="L38" s="500" t="s">
        <v>708</v>
      </c>
      <c r="M38" s="500" t="s">
        <v>718</v>
      </c>
      <c r="N38" s="501">
        <v>2</v>
      </c>
      <c r="O38" s="502" t="s">
        <v>755</v>
      </c>
      <c r="P38" s="504"/>
      <c r="R38" s="504">
        <f t="shared" si="5"/>
        <v>2</v>
      </c>
      <c r="S38" s="504">
        <f t="shared" si="5"/>
        <v>0</v>
      </c>
      <c r="T38" s="504">
        <f t="shared" si="6"/>
        <v>2</v>
      </c>
      <c r="U38" s="504">
        <f t="shared" si="6"/>
        <v>2</v>
      </c>
      <c r="V38" s="504">
        <f t="shared" si="6"/>
        <v>0</v>
      </c>
      <c r="W38" s="504">
        <f t="shared" si="6"/>
        <v>0</v>
      </c>
      <c r="X38" s="504">
        <f t="shared" si="6"/>
        <v>0</v>
      </c>
    </row>
    <row r="39" spans="1:24" s="503" customFormat="1" ht="35.25" customHeight="1" outlineLevel="1" x14ac:dyDescent="0.5">
      <c r="A39" s="481"/>
      <c r="B39" s="481"/>
      <c r="C39" s="505" t="s">
        <v>706</v>
      </c>
      <c r="D39" s="506">
        <f>VLOOKUP(C32,overview_of_services!$B$2:$I$88,7,FALSE)</f>
        <v>0</v>
      </c>
      <c r="E39" s="499"/>
      <c r="F39" s="499"/>
      <c r="G39" s="499"/>
      <c r="H39" s="499"/>
      <c r="I39" s="499"/>
      <c r="J39" s="499"/>
      <c r="K39" s="499"/>
      <c r="L39" s="500" t="s">
        <v>721</v>
      </c>
      <c r="M39" s="500"/>
      <c r="N39" s="501" t="s">
        <v>721</v>
      </c>
      <c r="O39" s="502" t="s">
        <v>721</v>
      </c>
      <c r="P39" s="504"/>
      <c r="R39" s="504">
        <f t="shared" si="5"/>
        <v>0</v>
      </c>
      <c r="S39" s="504">
        <f t="shared" si="5"/>
        <v>0</v>
      </c>
      <c r="T39" s="504">
        <f t="shared" si="6"/>
        <v>0</v>
      </c>
      <c r="U39" s="504">
        <f t="shared" si="6"/>
        <v>0</v>
      </c>
      <c r="V39" s="504">
        <f t="shared" si="6"/>
        <v>0</v>
      </c>
      <c r="W39" s="504">
        <f t="shared" si="6"/>
        <v>0</v>
      </c>
      <c r="X39" s="504">
        <f t="shared" si="6"/>
        <v>0</v>
      </c>
    </row>
    <row r="40" spans="1:24" s="503" customFormat="1" ht="35.25" customHeight="1" outlineLevel="1" x14ac:dyDescent="0.5">
      <c r="A40" s="481"/>
      <c r="B40" s="481"/>
      <c r="C40" s="505" t="s">
        <v>710</v>
      </c>
      <c r="D40" s="506">
        <f>VLOOKUP(C32,overview_of_services!$B$2:$I$88,8,FALSE)</f>
        <v>0</v>
      </c>
      <c r="E40" s="507"/>
      <c r="F40" s="499"/>
      <c r="G40" s="507"/>
      <c r="H40" s="507"/>
      <c r="I40" s="499"/>
      <c r="J40" s="499"/>
      <c r="K40" s="499"/>
      <c r="L40" s="500"/>
      <c r="M40" s="500"/>
      <c r="N40" s="501"/>
      <c r="O40" s="502"/>
      <c r="P40" s="504"/>
      <c r="R40" s="504">
        <f t="shared" si="5"/>
        <v>0</v>
      </c>
      <c r="S40" s="504">
        <f t="shared" si="5"/>
        <v>0</v>
      </c>
      <c r="T40" s="504">
        <f t="shared" si="6"/>
        <v>0</v>
      </c>
      <c r="U40" s="504">
        <f t="shared" si="6"/>
        <v>0</v>
      </c>
      <c r="V40" s="504">
        <f t="shared" si="6"/>
        <v>0</v>
      </c>
      <c r="W40" s="504">
        <f t="shared" si="6"/>
        <v>0</v>
      </c>
      <c r="X40" s="504">
        <f t="shared" si="6"/>
        <v>0</v>
      </c>
    </row>
    <row r="41" spans="1:24" s="503" customFormat="1" ht="6" customHeight="1" outlineLevel="2" thickBot="1" x14ac:dyDescent="0.4">
      <c r="A41" s="481"/>
      <c r="B41" s="481"/>
      <c r="C41" s="504"/>
      <c r="D41" s="504"/>
      <c r="E41" s="508"/>
      <c r="F41" s="508"/>
      <c r="G41" s="508"/>
      <c r="H41" s="508"/>
      <c r="I41" s="508"/>
      <c r="J41" s="508"/>
      <c r="K41" s="508"/>
      <c r="L41" s="504"/>
      <c r="M41" s="504"/>
      <c r="N41" s="504"/>
      <c r="O41" s="508"/>
      <c r="P41" s="504"/>
    </row>
    <row r="42" spans="1:24" s="503" customFormat="1" ht="30.75" customHeight="1" outlineLevel="2" thickBot="1" x14ac:dyDescent="0.4">
      <c r="A42" s="481"/>
      <c r="B42" s="481"/>
      <c r="C42" s="509"/>
      <c r="D42" s="509" t="s">
        <v>712</v>
      </c>
      <c r="E42" s="510" t="s">
        <v>729</v>
      </c>
      <c r="F42" s="511" t="s">
        <v>729</v>
      </c>
      <c r="G42" s="511" t="s">
        <v>729</v>
      </c>
      <c r="H42" s="511" t="s">
        <v>729</v>
      </c>
      <c r="I42" s="511" t="s">
        <v>729</v>
      </c>
      <c r="J42" s="511" t="s">
        <v>729</v>
      </c>
      <c r="K42" s="511" t="s">
        <v>729</v>
      </c>
      <c r="L42" s="511" t="s">
        <v>729</v>
      </c>
      <c r="M42" s="511" t="s">
        <v>729</v>
      </c>
      <c r="N42" s="511" t="s">
        <v>729</v>
      </c>
      <c r="O42" s="511" t="s">
        <v>729</v>
      </c>
      <c r="P42" s="504"/>
    </row>
    <row r="43" spans="1:24" s="503" customFormat="1" ht="30.75" customHeight="1" outlineLevel="2" thickBot="1" x14ac:dyDescent="0.4">
      <c r="A43" s="481"/>
      <c r="B43" s="481"/>
      <c r="C43" s="509"/>
      <c r="D43" s="509" t="s">
        <v>714</v>
      </c>
      <c r="E43" s="510" t="s">
        <v>30</v>
      </c>
      <c r="F43" s="512"/>
      <c r="G43" s="511"/>
      <c r="H43" s="511"/>
      <c r="I43" s="511"/>
      <c r="J43" s="511"/>
      <c r="K43" s="511"/>
      <c r="L43" s="510"/>
      <c r="M43" s="510"/>
      <c r="N43" s="513"/>
      <c r="O43" s="510"/>
      <c r="P43" s="504"/>
    </row>
    <row r="44" spans="1:24" ht="20.25" customHeight="1" outlineLevel="1" thickBot="1" x14ac:dyDescent="0.4">
      <c r="C44" s="481"/>
      <c r="D44" s="481"/>
      <c r="E44" s="481"/>
      <c r="F44" s="481"/>
      <c r="G44" s="482"/>
      <c r="H44" s="482"/>
      <c r="I44" s="482"/>
      <c r="J44" s="482"/>
      <c r="K44" s="482"/>
      <c r="L44" s="482"/>
      <c r="M44" s="482"/>
      <c r="N44" s="482"/>
      <c r="O44" s="482"/>
      <c r="P44" s="481"/>
    </row>
    <row r="45" spans="1:24" ht="17.25" customHeight="1" thickBot="1" x14ac:dyDescent="0.4">
      <c r="C45" s="483" t="s">
        <v>677</v>
      </c>
      <c r="D45" s="484" t="s">
        <v>678</v>
      </c>
      <c r="E45" s="481"/>
      <c r="F45" s="481"/>
      <c r="G45" s="482"/>
      <c r="H45" s="482"/>
      <c r="I45" s="482"/>
      <c r="J45" s="482"/>
      <c r="K45" s="482"/>
      <c r="L45" s="482"/>
      <c r="M45" s="482"/>
      <c r="N45" s="482"/>
      <c r="O45" s="482"/>
      <c r="P45" s="481"/>
    </row>
    <row r="46" spans="1:24" s="492" customFormat="1" ht="36.75" customHeight="1" thickBot="1" x14ac:dyDescent="0.7">
      <c r="A46" s="481"/>
      <c r="B46" s="486" t="s">
        <v>679</v>
      </c>
      <c r="C46" s="487" t="s">
        <v>197</v>
      </c>
      <c r="D46" s="514" t="str">
        <f>VLOOKUP(C46,overview_of_services!$B$2:$I$88,3,FALSE)</f>
        <v>Control of distribution pumps in networks</v>
      </c>
      <c r="E46" s="489"/>
      <c r="F46" s="490" t="s">
        <v>680</v>
      </c>
      <c r="G46" s="578" t="str">
        <f>VLOOKUP(C46,overview_of_services!$B$2:$I$88,2,FALSE)</f>
        <v>Cooling control - demand side</v>
      </c>
      <c r="H46" s="578"/>
      <c r="I46" s="490"/>
      <c r="J46" s="491"/>
      <c r="K46" s="491"/>
      <c r="L46" s="491"/>
      <c r="M46" s="491"/>
      <c r="N46" s="491"/>
      <c r="O46" s="491"/>
      <c r="R46" s="492" t="s">
        <v>681</v>
      </c>
      <c r="S46" s="492">
        <f>ROW()</f>
        <v>46</v>
      </c>
    </row>
    <row r="47" spans="1:24" ht="5.25" customHeight="1" x14ac:dyDescent="0.35">
      <c r="C47" s="493"/>
      <c r="D47" s="493"/>
      <c r="E47" s="493"/>
      <c r="F47" s="493"/>
      <c r="G47" s="493"/>
      <c r="H47" s="493"/>
      <c r="I47" s="493"/>
      <c r="J47" s="493"/>
      <c r="K47" s="493"/>
      <c r="L47" s="493"/>
      <c r="M47" s="493"/>
      <c r="N47" s="493"/>
      <c r="O47" s="494"/>
      <c r="P47" s="481"/>
    </row>
    <row r="48" spans="1:24" ht="20.25" customHeight="1" outlineLevel="1" x14ac:dyDescent="0.35">
      <c r="C48" s="575" t="s">
        <v>682</v>
      </c>
      <c r="D48" s="575"/>
      <c r="E48" s="577" t="s">
        <v>683</v>
      </c>
      <c r="F48" s="577"/>
      <c r="G48" s="577"/>
      <c r="H48" s="577"/>
      <c r="I48" s="577"/>
      <c r="J48" s="577"/>
      <c r="K48" s="577"/>
      <c r="L48" s="573" t="s">
        <v>684</v>
      </c>
      <c r="M48" s="574"/>
      <c r="N48" s="569" t="s">
        <v>685</v>
      </c>
      <c r="O48" s="571" t="s">
        <v>686</v>
      </c>
      <c r="P48" s="481"/>
    </row>
    <row r="49" spans="1:24" ht="36.75" customHeight="1" outlineLevel="1" thickBot="1" x14ac:dyDescent="0.4">
      <c r="C49" s="576"/>
      <c r="D49" s="576"/>
      <c r="E49" s="495" t="s">
        <v>687</v>
      </c>
      <c r="F49" s="495" t="s">
        <v>688</v>
      </c>
      <c r="G49" s="495" t="s">
        <v>689</v>
      </c>
      <c r="H49" s="495" t="s">
        <v>690</v>
      </c>
      <c r="I49" s="495" t="s">
        <v>616</v>
      </c>
      <c r="J49" s="495" t="s">
        <v>691</v>
      </c>
      <c r="K49" s="495" t="s">
        <v>692</v>
      </c>
      <c r="L49" s="496" t="s">
        <v>693</v>
      </c>
      <c r="M49" s="496" t="s">
        <v>694</v>
      </c>
      <c r="N49" s="570"/>
      <c r="O49" s="572"/>
      <c r="P49" s="481"/>
    </row>
    <row r="50" spans="1:24" s="503" customFormat="1" ht="35.25" customHeight="1" outlineLevel="1" thickTop="1" x14ac:dyDescent="0.5">
      <c r="A50" s="481"/>
      <c r="B50" s="481"/>
      <c r="C50" s="497" t="s">
        <v>695</v>
      </c>
      <c r="D50" s="498" t="str">
        <f>VLOOKUP(C46,overview_of_services!$B$2:$I$88,4,FALSE)</f>
        <v>No automatic control</v>
      </c>
      <c r="E50" s="499">
        <v>0</v>
      </c>
      <c r="F50" s="499">
        <v>0</v>
      </c>
      <c r="G50" s="499">
        <v>0</v>
      </c>
      <c r="H50" s="499">
        <v>0</v>
      </c>
      <c r="I50" s="499">
        <v>0</v>
      </c>
      <c r="J50" s="499">
        <v>0</v>
      </c>
      <c r="K50" s="499">
        <v>0</v>
      </c>
      <c r="L50" s="500" t="s">
        <v>696</v>
      </c>
      <c r="M50" s="500" t="s">
        <v>696</v>
      </c>
      <c r="N50" s="501">
        <v>0</v>
      </c>
      <c r="O50" s="502" t="s">
        <v>697</v>
      </c>
      <c r="P50" s="504"/>
      <c r="R50" s="504">
        <f t="shared" ref="R50:S54" si="7">IF(E50=0,0,(IF(E50="+",1,(IF(E50="++",2,(IF(E50="+++",3,(IF(E50="++++",4,(IF(E50="-",-1,(IF(E50="--",-2,(IF(E50="---",-3,(IF(E50="----",-4,"NA")))))))))))))))))</f>
        <v>0</v>
      </c>
      <c r="S50" s="504">
        <f t="shared" si="7"/>
        <v>0</v>
      </c>
      <c r="T50" s="504">
        <f t="shared" ref="T50:X54" si="8">IF(G50=0,0,(IF(G50="+",1,(IF(G50="++",2,(IF(G50="+++",3,(IF(G50="++++",4,(IF(G50="-",-1,(IF(G50="--",-2,(IF(G50="---",-3,(IF(G50="----",-4,"NA")))))))))))))))))</f>
        <v>0</v>
      </c>
      <c r="U50" s="504">
        <f t="shared" si="8"/>
        <v>0</v>
      </c>
      <c r="V50" s="504">
        <f t="shared" si="8"/>
        <v>0</v>
      </c>
      <c r="W50" s="504">
        <f t="shared" si="8"/>
        <v>0</v>
      </c>
      <c r="X50" s="504">
        <f t="shared" si="8"/>
        <v>0</v>
      </c>
    </row>
    <row r="51" spans="1:24" s="503" customFormat="1" ht="35.25" customHeight="1" outlineLevel="1" x14ac:dyDescent="0.5">
      <c r="A51" s="481"/>
      <c r="B51" s="481"/>
      <c r="C51" s="505" t="s">
        <v>699</v>
      </c>
      <c r="D51" s="506" t="str">
        <f>VLOOKUP(C46,overview_of_services!$B$2:$I$88,5,FALSE)</f>
        <v>On off control</v>
      </c>
      <c r="E51" s="499" t="s">
        <v>700</v>
      </c>
      <c r="F51" s="499">
        <v>0</v>
      </c>
      <c r="G51" s="499">
        <v>0</v>
      </c>
      <c r="H51" s="499">
        <v>0</v>
      </c>
      <c r="I51" s="499">
        <v>0</v>
      </c>
      <c r="J51" s="499">
        <v>0</v>
      </c>
      <c r="K51" s="499">
        <v>0</v>
      </c>
      <c r="L51" s="500" t="s">
        <v>708</v>
      </c>
      <c r="M51" s="500" t="s">
        <v>718</v>
      </c>
      <c r="N51" s="501">
        <v>1</v>
      </c>
      <c r="O51" s="502" t="s">
        <v>722</v>
      </c>
      <c r="P51" s="504"/>
      <c r="R51" s="504">
        <f t="shared" si="7"/>
        <v>1</v>
      </c>
      <c r="S51" s="504">
        <f t="shared" si="7"/>
        <v>0</v>
      </c>
      <c r="T51" s="504">
        <f t="shared" si="8"/>
        <v>0</v>
      </c>
      <c r="U51" s="504">
        <f t="shared" si="8"/>
        <v>0</v>
      </c>
      <c r="V51" s="504">
        <f t="shared" si="8"/>
        <v>0</v>
      </c>
      <c r="W51" s="504">
        <f t="shared" si="8"/>
        <v>0</v>
      </c>
      <c r="X51" s="504">
        <f t="shared" si="8"/>
        <v>0</v>
      </c>
    </row>
    <row r="52" spans="1:24" s="503" customFormat="1" ht="43.5" outlineLevel="1" x14ac:dyDescent="0.5">
      <c r="A52" s="481"/>
      <c r="B52" s="481"/>
      <c r="C52" s="505" t="s">
        <v>703</v>
      </c>
      <c r="D52" s="506" t="str">
        <f>VLOOKUP(C46,overview_of_services!$B$2:$I$88,6,FALSE)</f>
        <v>Multi-Stage control</v>
      </c>
      <c r="E52" s="499" t="s">
        <v>704</v>
      </c>
      <c r="F52" s="499">
        <v>0</v>
      </c>
      <c r="G52" s="499">
        <v>0</v>
      </c>
      <c r="H52" s="499">
        <v>0</v>
      </c>
      <c r="I52" s="499">
        <v>0</v>
      </c>
      <c r="J52" s="499">
        <v>0</v>
      </c>
      <c r="K52" s="499">
        <v>0</v>
      </c>
      <c r="L52" s="500" t="s">
        <v>708</v>
      </c>
      <c r="M52" s="500" t="s">
        <v>718</v>
      </c>
      <c r="N52" s="501">
        <v>2</v>
      </c>
      <c r="O52" s="502" t="s">
        <v>756</v>
      </c>
      <c r="P52" s="504"/>
      <c r="R52" s="504">
        <f t="shared" si="7"/>
        <v>2</v>
      </c>
      <c r="S52" s="504">
        <f t="shared" si="7"/>
        <v>0</v>
      </c>
      <c r="T52" s="504">
        <f t="shared" si="8"/>
        <v>0</v>
      </c>
      <c r="U52" s="504">
        <f t="shared" si="8"/>
        <v>0</v>
      </c>
      <c r="V52" s="504">
        <f t="shared" si="8"/>
        <v>0</v>
      </c>
      <c r="W52" s="504">
        <f t="shared" si="8"/>
        <v>0</v>
      </c>
      <c r="X52" s="504">
        <f t="shared" si="8"/>
        <v>0</v>
      </c>
    </row>
    <row r="53" spans="1:24" s="503" customFormat="1" ht="35.25" customHeight="1" outlineLevel="1" x14ac:dyDescent="0.5">
      <c r="A53" s="481"/>
      <c r="B53" s="481"/>
      <c r="C53" s="505" t="s">
        <v>706</v>
      </c>
      <c r="D53" s="506" t="str">
        <f>VLOOKUP(C46,overview_of_services!$B$2:$I$88,7,FALSE)</f>
        <v>Variable speed pump control (pump unit (internal) estimations)</v>
      </c>
      <c r="E53" s="507" t="s">
        <v>707</v>
      </c>
      <c r="F53" s="499">
        <v>0</v>
      </c>
      <c r="G53" s="499">
        <v>0</v>
      </c>
      <c r="H53" s="499">
        <v>0</v>
      </c>
      <c r="I53" s="499">
        <v>0</v>
      </c>
      <c r="J53" s="499">
        <v>0</v>
      </c>
      <c r="K53" s="499">
        <v>0</v>
      </c>
      <c r="L53" s="500" t="s">
        <v>708</v>
      </c>
      <c r="M53" s="500" t="s">
        <v>718</v>
      </c>
      <c r="N53" s="501">
        <v>3</v>
      </c>
      <c r="O53" s="502" t="s">
        <v>724</v>
      </c>
      <c r="P53" s="504"/>
      <c r="R53" s="504">
        <f t="shared" si="7"/>
        <v>3</v>
      </c>
      <c r="S53" s="504">
        <f t="shared" si="7"/>
        <v>0</v>
      </c>
      <c r="T53" s="504">
        <f t="shared" si="8"/>
        <v>0</v>
      </c>
      <c r="U53" s="504">
        <f t="shared" si="8"/>
        <v>0</v>
      </c>
      <c r="V53" s="504">
        <f t="shared" si="8"/>
        <v>0</v>
      </c>
      <c r="W53" s="504">
        <f t="shared" si="8"/>
        <v>0</v>
      </c>
      <c r="X53" s="504">
        <f t="shared" si="8"/>
        <v>0</v>
      </c>
    </row>
    <row r="54" spans="1:24" s="503" customFormat="1" ht="35.25" customHeight="1" outlineLevel="1" x14ac:dyDescent="0.5">
      <c r="A54" s="481"/>
      <c r="B54" s="481"/>
      <c r="C54" s="505" t="s">
        <v>710</v>
      </c>
      <c r="D54" s="506" t="str">
        <f>VLOOKUP(C46,overview_of_services!$B$2:$I$88,8,FALSE)</f>
        <v>Variable speed pump control (external demand signal)</v>
      </c>
      <c r="E54" s="507" t="s">
        <v>707</v>
      </c>
      <c r="F54" s="499">
        <v>0</v>
      </c>
      <c r="G54" s="499">
        <v>0</v>
      </c>
      <c r="H54" s="499">
        <v>0</v>
      </c>
      <c r="I54" s="499">
        <v>0</v>
      </c>
      <c r="J54" s="499">
        <v>0</v>
      </c>
      <c r="K54" s="499">
        <v>0</v>
      </c>
      <c r="L54" s="500" t="s">
        <v>708</v>
      </c>
      <c r="M54" s="500" t="s">
        <v>708</v>
      </c>
      <c r="N54" s="501">
        <v>3</v>
      </c>
      <c r="O54" s="502" t="s">
        <v>724</v>
      </c>
      <c r="P54" s="504"/>
      <c r="R54" s="504">
        <f t="shared" si="7"/>
        <v>3</v>
      </c>
      <c r="S54" s="504">
        <f t="shared" si="7"/>
        <v>0</v>
      </c>
      <c r="T54" s="504">
        <f t="shared" si="8"/>
        <v>0</v>
      </c>
      <c r="U54" s="504">
        <f t="shared" si="8"/>
        <v>0</v>
      </c>
      <c r="V54" s="504">
        <f t="shared" si="8"/>
        <v>0</v>
      </c>
      <c r="W54" s="504">
        <f t="shared" si="8"/>
        <v>0</v>
      </c>
      <c r="X54" s="504">
        <f t="shared" si="8"/>
        <v>0</v>
      </c>
    </row>
    <row r="55" spans="1:24" s="503" customFormat="1" ht="6" customHeight="1" outlineLevel="2" thickBot="1" x14ac:dyDescent="0.4">
      <c r="A55" s="481"/>
      <c r="B55" s="481"/>
      <c r="C55" s="504"/>
      <c r="D55" s="504"/>
      <c r="E55" s="508"/>
      <c r="F55" s="508"/>
      <c r="G55" s="508"/>
      <c r="H55" s="508"/>
      <c r="I55" s="508"/>
      <c r="J55" s="508"/>
      <c r="K55" s="508"/>
      <c r="L55" s="504"/>
      <c r="M55" s="504"/>
      <c r="N55" s="504"/>
      <c r="O55" s="508"/>
      <c r="P55" s="504"/>
    </row>
    <row r="56" spans="1:24" s="503" customFormat="1" ht="30.75" customHeight="1" outlineLevel="2" thickBot="1" x14ac:dyDescent="0.4">
      <c r="A56" s="481"/>
      <c r="B56" s="481"/>
      <c r="C56" s="509"/>
      <c r="D56" s="509" t="s">
        <v>712</v>
      </c>
      <c r="E56" s="510" t="s">
        <v>729</v>
      </c>
      <c r="F56" s="511" t="s">
        <v>729</v>
      </c>
      <c r="G56" s="511" t="s">
        <v>729</v>
      </c>
      <c r="H56" s="511" t="s">
        <v>729</v>
      </c>
      <c r="I56" s="511" t="s">
        <v>729</v>
      </c>
      <c r="J56" s="511" t="s">
        <v>729</v>
      </c>
      <c r="K56" s="511" t="s">
        <v>729</v>
      </c>
      <c r="L56" s="511" t="s">
        <v>729</v>
      </c>
      <c r="M56" s="511" t="s">
        <v>729</v>
      </c>
      <c r="N56" s="511" t="s">
        <v>729</v>
      </c>
      <c r="O56" s="511" t="s">
        <v>729</v>
      </c>
      <c r="P56" s="504"/>
    </row>
    <row r="57" spans="1:24" s="503" customFormat="1" ht="30.75" customHeight="1" outlineLevel="2" thickBot="1" x14ac:dyDescent="0.4">
      <c r="A57" s="481"/>
      <c r="B57" s="481"/>
      <c r="C57" s="509"/>
      <c r="D57" s="509" t="s">
        <v>714</v>
      </c>
      <c r="E57" s="510" t="s">
        <v>30</v>
      </c>
      <c r="F57" s="512"/>
      <c r="G57" s="511"/>
      <c r="H57" s="511"/>
      <c r="I57" s="511"/>
      <c r="J57" s="511"/>
      <c r="K57" s="511"/>
      <c r="L57" s="510"/>
      <c r="M57" s="510"/>
      <c r="N57" s="513"/>
      <c r="O57" s="510"/>
      <c r="P57" s="504"/>
    </row>
    <row r="58" spans="1:24" ht="20.25" customHeight="1" outlineLevel="1" thickBot="1" x14ac:dyDescent="0.4">
      <c r="C58" s="481"/>
      <c r="D58" s="481"/>
      <c r="E58" s="481"/>
      <c r="F58" s="481"/>
      <c r="G58" s="482"/>
      <c r="H58" s="482"/>
      <c r="I58" s="482"/>
      <c r="J58" s="482"/>
      <c r="K58" s="482"/>
      <c r="L58" s="482"/>
      <c r="M58" s="482"/>
      <c r="N58" s="482"/>
      <c r="O58" s="482"/>
      <c r="P58" s="481"/>
    </row>
    <row r="59" spans="1:24" ht="17.25" customHeight="1" thickBot="1" x14ac:dyDescent="0.4">
      <c r="C59" s="483" t="s">
        <v>677</v>
      </c>
      <c r="D59" s="484" t="s">
        <v>678</v>
      </c>
      <c r="E59" s="481"/>
      <c r="F59" s="481"/>
      <c r="G59" s="482"/>
      <c r="H59" s="482"/>
      <c r="I59" s="482"/>
      <c r="J59" s="482"/>
      <c r="K59" s="482"/>
      <c r="L59" s="482"/>
      <c r="M59" s="482"/>
      <c r="N59" s="482"/>
      <c r="O59" s="482"/>
      <c r="P59" s="481"/>
    </row>
    <row r="60" spans="1:24" s="492" customFormat="1" ht="36.75" customHeight="1" thickBot="1" x14ac:dyDescent="0.7">
      <c r="A60" s="481"/>
      <c r="B60" s="486" t="s">
        <v>679</v>
      </c>
      <c r="C60" s="487" t="s">
        <v>198</v>
      </c>
      <c r="D60" s="514" t="str">
        <f>VLOOKUP(C60,overview_of_services!$B$2:$I$88,3,FALSE)</f>
        <v>Intermittent control of emission and/or distribution</v>
      </c>
      <c r="E60" s="489"/>
      <c r="F60" s="490" t="s">
        <v>680</v>
      </c>
      <c r="G60" s="578" t="str">
        <f>VLOOKUP(C60,overview_of_services!$B$2:$I$88,2,FALSE)</f>
        <v>Cooling control - demand side</v>
      </c>
      <c r="H60" s="578"/>
      <c r="I60" s="490"/>
      <c r="J60" s="491"/>
      <c r="K60" s="491"/>
      <c r="L60" s="491"/>
      <c r="M60" s="491"/>
      <c r="N60" s="491"/>
      <c r="O60" s="491"/>
      <c r="R60" s="492" t="s">
        <v>681</v>
      </c>
      <c r="S60" s="492">
        <f>ROW()</f>
        <v>60</v>
      </c>
    </row>
    <row r="61" spans="1:24" ht="5.25" customHeight="1" x14ac:dyDescent="0.35">
      <c r="C61" s="493"/>
      <c r="D61" s="493"/>
      <c r="E61" s="493"/>
      <c r="F61" s="493"/>
      <c r="G61" s="493"/>
      <c r="H61" s="493"/>
      <c r="I61" s="493"/>
      <c r="J61" s="493"/>
      <c r="K61" s="493"/>
      <c r="L61" s="493"/>
      <c r="M61" s="493"/>
      <c r="N61" s="493"/>
      <c r="O61" s="494"/>
      <c r="P61" s="481"/>
    </row>
    <row r="62" spans="1:24" ht="20.25" customHeight="1" outlineLevel="1" x14ac:dyDescent="0.35">
      <c r="C62" s="575" t="s">
        <v>682</v>
      </c>
      <c r="D62" s="575"/>
      <c r="E62" s="577" t="s">
        <v>683</v>
      </c>
      <c r="F62" s="577"/>
      <c r="G62" s="577"/>
      <c r="H62" s="577"/>
      <c r="I62" s="577"/>
      <c r="J62" s="577"/>
      <c r="K62" s="577"/>
      <c r="L62" s="573" t="s">
        <v>684</v>
      </c>
      <c r="M62" s="574"/>
      <c r="N62" s="569" t="s">
        <v>685</v>
      </c>
      <c r="O62" s="571" t="s">
        <v>686</v>
      </c>
      <c r="P62" s="481"/>
    </row>
    <row r="63" spans="1:24" ht="36.75" customHeight="1" outlineLevel="1" thickBot="1" x14ac:dyDescent="0.4">
      <c r="C63" s="576"/>
      <c r="D63" s="576"/>
      <c r="E63" s="495" t="s">
        <v>687</v>
      </c>
      <c r="F63" s="495" t="s">
        <v>688</v>
      </c>
      <c r="G63" s="495" t="s">
        <v>689</v>
      </c>
      <c r="H63" s="495" t="s">
        <v>690</v>
      </c>
      <c r="I63" s="495" t="s">
        <v>616</v>
      </c>
      <c r="J63" s="495" t="s">
        <v>691</v>
      </c>
      <c r="K63" s="495" t="s">
        <v>692</v>
      </c>
      <c r="L63" s="496" t="s">
        <v>693</v>
      </c>
      <c r="M63" s="496" t="s">
        <v>694</v>
      </c>
      <c r="N63" s="570"/>
      <c r="O63" s="572"/>
      <c r="P63" s="481"/>
    </row>
    <row r="64" spans="1:24" s="503" customFormat="1" ht="35.25" customHeight="1" outlineLevel="1" thickTop="1" x14ac:dyDescent="0.5">
      <c r="A64" s="481"/>
      <c r="B64" s="481"/>
      <c r="C64" s="497" t="s">
        <v>695</v>
      </c>
      <c r="D64" s="498" t="str">
        <f>VLOOKUP(C60,overview_of_services!$B$2:$I$88,4,FALSE)</f>
        <v>No automatic control</v>
      </c>
      <c r="E64" s="499">
        <v>0</v>
      </c>
      <c r="F64" s="499">
        <v>0</v>
      </c>
      <c r="G64" s="499">
        <v>0</v>
      </c>
      <c r="H64" s="499">
        <v>0</v>
      </c>
      <c r="I64" s="499">
        <v>0</v>
      </c>
      <c r="J64" s="499">
        <v>0</v>
      </c>
      <c r="K64" s="499">
        <v>0</v>
      </c>
      <c r="L64" s="500" t="s">
        <v>696</v>
      </c>
      <c r="M64" s="500" t="s">
        <v>696</v>
      </c>
      <c r="N64" s="501">
        <v>0</v>
      </c>
      <c r="O64" s="502" t="s">
        <v>697</v>
      </c>
      <c r="P64" s="504"/>
      <c r="R64" s="504">
        <f t="shared" ref="R64:S68" si="9">IF(E64=0,0,(IF(E64="+",1,(IF(E64="++",2,(IF(E64="+++",3,(IF(E64="++++",4,(IF(E64="-",-1,(IF(E64="--",-2,(IF(E64="---",-3,(IF(E64="----",-4,"NA")))))))))))))))))</f>
        <v>0</v>
      </c>
      <c r="S64" s="504">
        <f t="shared" si="9"/>
        <v>0</v>
      </c>
      <c r="T64" s="504">
        <f t="shared" ref="T64:X68" si="10">IF(G64=0,0,(IF(G64="+",1,(IF(G64="++",2,(IF(G64="+++",3,(IF(G64="++++",4,(IF(G64="-",-1,(IF(G64="--",-2,(IF(G64="---",-3,(IF(G64="----",-4,"NA")))))))))))))))))</f>
        <v>0</v>
      </c>
      <c r="U64" s="504">
        <f t="shared" si="10"/>
        <v>0</v>
      </c>
      <c r="V64" s="504">
        <f t="shared" si="10"/>
        <v>0</v>
      </c>
      <c r="W64" s="504">
        <f t="shared" si="10"/>
        <v>0</v>
      </c>
      <c r="X64" s="504">
        <f t="shared" si="10"/>
        <v>0</v>
      </c>
    </row>
    <row r="65" spans="1:24" s="503" customFormat="1" ht="35.25" customHeight="1" outlineLevel="1" x14ac:dyDescent="0.5">
      <c r="A65" s="481"/>
      <c r="B65" s="481"/>
      <c r="C65" s="505" t="s">
        <v>699</v>
      </c>
      <c r="D65" s="506" t="str">
        <f>VLOOKUP(C60,overview_of_services!$B$2:$I$88,5,FALSE)</f>
        <v>Automatic control with fixed time program</v>
      </c>
      <c r="E65" s="499" t="s">
        <v>700</v>
      </c>
      <c r="F65" s="499">
        <v>0</v>
      </c>
      <c r="G65" s="499" t="s">
        <v>700</v>
      </c>
      <c r="H65" s="499" t="s">
        <v>700</v>
      </c>
      <c r="I65" s="499">
        <v>0</v>
      </c>
      <c r="J65" s="499">
        <v>0</v>
      </c>
      <c r="K65" s="499">
        <v>0</v>
      </c>
      <c r="L65" s="500" t="s">
        <v>708</v>
      </c>
      <c r="M65" s="500" t="s">
        <v>718</v>
      </c>
      <c r="N65" s="501">
        <v>1</v>
      </c>
      <c r="O65" s="502" t="s">
        <v>757</v>
      </c>
      <c r="P65" s="504"/>
      <c r="R65" s="504">
        <f t="shared" si="9"/>
        <v>1</v>
      </c>
      <c r="S65" s="504">
        <f t="shared" si="9"/>
        <v>0</v>
      </c>
      <c r="T65" s="504">
        <f t="shared" si="10"/>
        <v>1</v>
      </c>
      <c r="U65" s="504">
        <f t="shared" si="10"/>
        <v>1</v>
      </c>
      <c r="V65" s="504">
        <f t="shared" si="10"/>
        <v>0</v>
      </c>
      <c r="W65" s="504">
        <f t="shared" si="10"/>
        <v>0</v>
      </c>
      <c r="X65" s="504">
        <f t="shared" si="10"/>
        <v>0</v>
      </c>
    </row>
    <row r="66" spans="1:24" s="503" customFormat="1" ht="35.25" customHeight="1" outlineLevel="1" x14ac:dyDescent="0.5">
      <c r="A66" s="481"/>
      <c r="B66" s="481"/>
      <c r="C66" s="505" t="s">
        <v>703</v>
      </c>
      <c r="D66" s="506" t="str">
        <f>VLOOKUP(C60,overview_of_services!$B$2:$I$88,6,FALSE)</f>
        <v>Automatic control with optimum start/stop</v>
      </c>
      <c r="E66" s="499" t="s">
        <v>704</v>
      </c>
      <c r="F66" s="499">
        <v>0</v>
      </c>
      <c r="G66" s="499" t="s">
        <v>700</v>
      </c>
      <c r="H66" s="499" t="s">
        <v>700</v>
      </c>
      <c r="I66" s="499">
        <v>0</v>
      </c>
      <c r="J66" s="499">
        <v>0</v>
      </c>
      <c r="K66" s="499">
        <v>0</v>
      </c>
      <c r="L66" s="500" t="s">
        <v>708</v>
      </c>
      <c r="M66" s="500" t="s">
        <v>718</v>
      </c>
      <c r="N66" s="501">
        <v>2</v>
      </c>
      <c r="O66" s="502" t="s">
        <v>726</v>
      </c>
      <c r="P66" s="504"/>
      <c r="R66" s="504">
        <f t="shared" si="9"/>
        <v>2</v>
      </c>
      <c r="S66" s="504">
        <f t="shared" si="9"/>
        <v>0</v>
      </c>
      <c r="T66" s="504">
        <f t="shared" si="10"/>
        <v>1</v>
      </c>
      <c r="U66" s="504">
        <f t="shared" si="10"/>
        <v>1</v>
      </c>
      <c r="V66" s="504">
        <f t="shared" si="10"/>
        <v>0</v>
      </c>
      <c r="W66" s="504">
        <f t="shared" si="10"/>
        <v>0</v>
      </c>
      <c r="X66" s="504">
        <f t="shared" si="10"/>
        <v>0</v>
      </c>
    </row>
    <row r="67" spans="1:24" s="503" customFormat="1" ht="29" outlineLevel="1" x14ac:dyDescent="0.5">
      <c r="A67" s="481"/>
      <c r="B67" s="481"/>
      <c r="C67" s="505" t="s">
        <v>706</v>
      </c>
      <c r="D67" s="506" t="str">
        <f>VLOOKUP(C60,overview_of_services!$B$2:$I$88,7,FALSE)</f>
        <v>Automatic control with demand evaluation</v>
      </c>
      <c r="E67" s="507" t="s">
        <v>707</v>
      </c>
      <c r="F67" s="499">
        <v>0</v>
      </c>
      <c r="G67" s="499" t="s">
        <v>700</v>
      </c>
      <c r="H67" s="499" t="s">
        <v>700</v>
      </c>
      <c r="I67" s="499">
        <v>0</v>
      </c>
      <c r="J67" s="499">
        <v>0</v>
      </c>
      <c r="K67" s="499">
        <v>0</v>
      </c>
      <c r="L67" s="500" t="s">
        <v>708</v>
      </c>
      <c r="M67" s="500" t="s">
        <v>708</v>
      </c>
      <c r="N67" s="501">
        <v>3</v>
      </c>
      <c r="O67" s="502" t="s">
        <v>758</v>
      </c>
      <c r="P67" s="504"/>
      <c r="R67" s="504">
        <f t="shared" si="9"/>
        <v>3</v>
      </c>
      <c r="S67" s="504">
        <f t="shared" si="9"/>
        <v>0</v>
      </c>
      <c r="T67" s="504">
        <f t="shared" si="10"/>
        <v>1</v>
      </c>
      <c r="U67" s="504">
        <f t="shared" si="10"/>
        <v>1</v>
      </c>
      <c r="V67" s="504">
        <f t="shared" si="10"/>
        <v>0</v>
      </c>
      <c r="W67" s="504">
        <f t="shared" si="10"/>
        <v>0</v>
      </c>
      <c r="X67" s="504">
        <f t="shared" si="10"/>
        <v>0</v>
      </c>
    </row>
    <row r="68" spans="1:24" s="503" customFormat="1" ht="35.25" customHeight="1" outlineLevel="1" x14ac:dyDescent="0.5">
      <c r="A68" s="481"/>
      <c r="B68" s="481"/>
      <c r="C68" s="505" t="s">
        <v>710</v>
      </c>
      <c r="D68" s="506">
        <f>VLOOKUP(C60,overview_of_services!$B$2:$I$88,8,FALSE)</f>
        <v>0</v>
      </c>
      <c r="E68" s="507"/>
      <c r="F68" s="499"/>
      <c r="G68" s="507"/>
      <c r="H68" s="507"/>
      <c r="I68" s="499"/>
      <c r="J68" s="499"/>
      <c r="K68" s="499"/>
      <c r="L68" s="500"/>
      <c r="M68" s="500"/>
      <c r="N68" s="501"/>
      <c r="O68" s="502"/>
      <c r="P68" s="504"/>
      <c r="R68" s="504">
        <f t="shared" si="9"/>
        <v>0</v>
      </c>
      <c r="S68" s="504">
        <f t="shared" si="9"/>
        <v>0</v>
      </c>
      <c r="T68" s="504">
        <f t="shared" si="10"/>
        <v>0</v>
      </c>
      <c r="U68" s="504">
        <f t="shared" si="10"/>
        <v>0</v>
      </c>
      <c r="V68" s="504">
        <f t="shared" si="10"/>
        <v>0</v>
      </c>
      <c r="W68" s="504">
        <f t="shared" si="10"/>
        <v>0</v>
      </c>
      <c r="X68" s="504">
        <f t="shared" si="10"/>
        <v>0</v>
      </c>
    </row>
    <row r="69" spans="1:24" s="503" customFormat="1" ht="6" customHeight="1" outlineLevel="2" thickBot="1" x14ac:dyDescent="0.4">
      <c r="A69" s="481"/>
      <c r="B69" s="481"/>
      <c r="C69" s="504"/>
      <c r="D69" s="504"/>
      <c r="E69" s="508"/>
      <c r="F69" s="508"/>
      <c r="G69" s="508"/>
      <c r="H69" s="508"/>
      <c r="I69" s="508"/>
      <c r="J69" s="508"/>
      <c r="K69" s="508"/>
      <c r="L69" s="504"/>
      <c r="M69" s="504"/>
      <c r="N69" s="504"/>
      <c r="O69" s="508"/>
      <c r="P69" s="504"/>
    </row>
    <row r="70" spans="1:24" s="503" customFormat="1" ht="30.75" customHeight="1" outlineLevel="2" thickBot="1" x14ac:dyDescent="0.4">
      <c r="A70" s="481"/>
      <c r="B70" s="481"/>
      <c r="C70" s="509"/>
      <c r="D70" s="509" t="s">
        <v>712</v>
      </c>
      <c r="E70" s="510" t="s">
        <v>729</v>
      </c>
      <c r="F70" s="511" t="s">
        <v>729</v>
      </c>
      <c r="G70" s="511" t="s">
        <v>729</v>
      </c>
      <c r="H70" s="511" t="s">
        <v>729</v>
      </c>
      <c r="I70" s="511" t="s">
        <v>729</v>
      </c>
      <c r="J70" s="511" t="s">
        <v>729</v>
      </c>
      <c r="K70" s="511" t="s">
        <v>729</v>
      </c>
      <c r="L70" s="511" t="s">
        <v>729</v>
      </c>
      <c r="M70" s="511" t="s">
        <v>729</v>
      </c>
      <c r="N70" s="511" t="s">
        <v>729</v>
      </c>
      <c r="O70" s="511" t="s">
        <v>729</v>
      </c>
      <c r="P70" s="504"/>
    </row>
    <row r="71" spans="1:24" s="503" customFormat="1" ht="30.75" customHeight="1" outlineLevel="2" thickBot="1" x14ac:dyDescent="0.4">
      <c r="A71" s="481"/>
      <c r="B71" s="481"/>
      <c r="C71" s="509"/>
      <c r="D71" s="509" t="s">
        <v>714</v>
      </c>
      <c r="E71" s="510" t="s">
        <v>30</v>
      </c>
      <c r="F71" s="512"/>
      <c r="G71" s="511"/>
      <c r="H71" s="511"/>
      <c r="I71" s="511"/>
      <c r="J71" s="511"/>
      <c r="K71" s="511"/>
      <c r="L71" s="510"/>
      <c r="M71" s="510"/>
      <c r="N71" s="513"/>
      <c r="O71" s="510"/>
      <c r="P71" s="504"/>
    </row>
    <row r="72" spans="1:24" ht="20.25" customHeight="1" outlineLevel="1" thickBot="1" x14ac:dyDescent="0.4">
      <c r="C72" s="481"/>
      <c r="D72" s="481"/>
      <c r="E72" s="481"/>
      <c r="F72" s="481"/>
      <c r="G72" s="482"/>
      <c r="H72" s="482"/>
      <c r="I72" s="482"/>
      <c r="J72" s="482"/>
      <c r="K72" s="482"/>
      <c r="L72" s="482"/>
      <c r="M72" s="482"/>
      <c r="N72" s="482"/>
      <c r="O72" s="482"/>
      <c r="P72" s="481"/>
    </row>
    <row r="73" spans="1:24" ht="17.25" customHeight="1" thickBot="1" x14ac:dyDescent="0.4">
      <c r="C73" s="483" t="s">
        <v>677</v>
      </c>
      <c r="D73" s="484" t="s">
        <v>678</v>
      </c>
      <c r="E73" s="481"/>
      <c r="F73" s="481"/>
      <c r="G73" s="482"/>
      <c r="H73" s="482"/>
      <c r="I73" s="482"/>
      <c r="J73" s="482"/>
      <c r="K73" s="482"/>
      <c r="L73" s="482"/>
      <c r="M73" s="482"/>
      <c r="N73" s="482"/>
      <c r="O73" s="482"/>
      <c r="P73" s="481"/>
    </row>
    <row r="74" spans="1:24" s="492" customFormat="1" ht="36.75" customHeight="1" thickBot="1" x14ac:dyDescent="0.7">
      <c r="A74" s="481"/>
      <c r="B74" s="486" t="s">
        <v>679</v>
      </c>
      <c r="C74" s="487" t="s">
        <v>200</v>
      </c>
      <c r="D74" s="514" t="str">
        <f>VLOOKUP(C74,overview_of_services!$B$2:$I$88,3,FALSE)</f>
        <v>Interlock between heating and cooling control of emission and/or distribution</v>
      </c>
      <c r="E74" s="489"/>
      <c r="F74" s="490" t="s">
        <v>680</v>
      </c>
      <c r="G74" s="578" t="str">
        <f>VLOOKUP(C74,overview_of_services!$B$2:$I$88,2,FALSE)</f>
        <v>Cooling control - demand side</v>
      </c>
      <c r="H74" s="578"/>
      <c r="I74" s="490"/>
      <c r="J74" s="491"/>
      <c r="K74" s="491"/>
      <c r="L74" s="491"/>
      <c r="M74" s="491"/>
      <c r="N74" s="491"/>
      <c r="O74" s="491"/>
      <c r="R74" s="492" t="s">
        <v>681</v>
      </c>
      <c r="S74" s="492">
        <f>ROW()</f>
        <v>74</v>
      </c>
    </row>
    <row r="75" spans="1:24" ht="5.25" customHeight="1" x14ac:dyDescent="0.35">
      <c r="C75" s="493"/>
      <c r="D75" s="493"/>
      <c r="E75" s="493"/>
      <c r="F75" s="493"/>
      <c r="G75" s="493"/>
      <c r="H75" s="493"/>
      <c r="I75" s="493"/>
      <c r="J75" s="493"/>
      <c r="K75" s="493"/>
      <c r="L75" s="493"/>
      <c r="M75" s="493"/>
      <c r="N75" s="493"/>
      <c r="O75" s="494"/>
      <c r="P75" s="481"/>
    </row>
    <row r="76" spans="1:24" ht="20.25" customHeight="1" outlineLevel="1" x14ac:dyDescent="0.35">
      <c r="C76" s="575" t="s">
        <v>682</v>
      </c>
      <c r="D76" s="575"/>
      <c r="E76" s="577" t="s">
        <v>683</v>
      </c>
      <c r="F76" s="577"/>
      <c r="G76" s="577"/>
      <c r="H76" s="577"/>
      <c r="I76" s="577"/>
      <c r="J76" s="577"/>
      <c r="K76" s="577"/>
      <c r="L76" s="573" t="s">
        <v>684</v>
      </c>
      <c r="M76" s="574"/>
      <c r="N76" s="569" t="s">
        <v>685</v>
      </c>
      <c r="O76" s="571" t="s">
        <v>686</v>
      </c>
      <c r="P76" s="481"/>
    </row>
    <row r="77" spans="1:24" ht="36.75" customHeight="1" outlineLevel="1" thickBot="1" x14ac:dyDescent="0.4">
      <c r="C77" s="576"/>
      <c r="D77" s="576"/>
      <c r="E77" s="495" t="s">
        <v>687</v>
      </c>
      <c r="F77" s="495" t="s">
        <v>688</v>
      </c>
      <c r="G77" s="495" t="s">
        <v>689</v>
      </c>
      <c r="H77" s="495" t="s">
        <v>690</v>
      </c>
      <c r="I77" s="495" t="s">
        <v>616</v>
      </c>
      <c r="J77" s="495" t="s">
        <v>691</v>
      </c>
      <c r="K77" s="495" t="s">
        <v>692</v>
      </c>
      <c r="L77" s="496" t="s">
        <v>693</v>
      </c>
      <c r="M77" s="496" t="s">
        <v>694</v>
      </c>
      <c r="N77" s="570"/>
      <c r="O77" s="572"/>
      <c r="P77" s="481"/>
    </row>
    <row r="78" spans="1:24" s="503" customFormat="1" ht="35.25" customHeight="1" outlineLevel="1" thickTop="1" x14ac:dyDescent="0.5">
      <c r="A78" s="481"/>
      <c r="B78" s="481"/>
      <c r="C78" s="497" t="s">
        <v>695</v>
      </c>
      <c r="D78" s="498" t="str">
        <f>VLOOKUP(C74,overview_of_services!$B$2:$I$88,4,FALSE)</f>
        <v>No interlock</v>
      </c>
      <c r="E78" s="499">
        <v>0</v>
      </c>
      <c r="F78" s="499">
        <v>0</v>
      </c>
      <c r="G78" s="499">
        <v>0</v>
      </c>
      <c r="H78" s="499">
        <v>0</v>
      </c>
      <c r="I78" s="499">
        <v>0</v>
      </c>
      <c r="J78" s="499">
        <v>0</v>
      </c>
      <c r="K78" s="499">
        <v>0</v>
      </c>
      <c r="L78" s="500" t="s">
        <v>696</v>
      </c>
      <c r="M78" s="500" t="s">
        <v>696</v>
      </c>
      <c r="N78" s="501">
        <v>0</v>
      </c>
      <c r="O78" s="502" t="s">
        <v>697</v>
      </c>
      <c r="P78" s="504"/>
      <c r="R78" s="504">
        <f t="shared" ref="R78:S82" si="11">IF(E78=0,0,(IF(E78="+",1,(IF(E78="++",2,(IF(E78="+++",3,(IF(E78="++++",4,(IF(E78="-",-1,(IF(E78="--",-2,(IF(E78="---",-3,(IF(E78="----",-4,"NA")))))))))))))))))</f>
        <v>0</v>
      </c>
      <c r="S78" s="504">
        <f t="shared" si="11"/>
        <v>0</v>
      </c>
      <c r="T78" s="504">
        <f t="shared" ref="T78:X82" si="12">IF(G78=0,0,(IF(G78="+",1,(IF(G78="++",2,(IF(G78="+++",3,(IF(G78="++++",4,(IF(G78="-",-1,(IF(G78="--",-2,(IF(G78="---",-3,(IF(G78="----",-4,"NA")))))))))))))))))</f>
        <v>0</v>
      </c>
      <c r="U78" s="504">
        <f t="shared" si="12"/>
        <v>0</v>
      </c>
      <c r="V78" s="504">
        <f t="shared" si="12"/>
        <v>0</v>
      </c>
      <c r="W78" s="504">
        <f t="shared" si="12"/>
        <v>0</v>
      </c>
      <c r="X78" s="504">
        <f t="shared" si="12"/>
        <v>0</v>
      </c>
    </row>
    <row r="79" spans="1:24" s="503" customFormat="1" ht="43.5" outlineLevel="1" x14ac:dyDescent="0.5">
      <c r="A79" s="481"/>
      <c r="B79" s="481"/>
      <c r="C79" s="505" t="s">
        <v>699</v>
      </c>
      <c r="D79" s="506" t="str">
        <f>VLOOKUP(C74,overview_of_services!$B$2:$I$88,5,FALSE)</f>
        <v>Partial interlock (dependant of the HVAC system)</v>
      </c>
      <c r="E79" s="507" t="s">
        <v>704</v>
      </c>
      <c r="F79" s="499">
        <v>0</v>
      </c>
      <c r="G79" s="499">
        <v>0</v>
      </c>
      <c r="H79" s="499">
        <v>0</v>
      </c>
      <c r="I79" s="499">
        <v>0</v>
      </c>
      <c r="J79" s="499">
        <v>0</v>
      </c>
      <c r="K79" s="499">
        <v>0</v>
      </c>
      <c r="L79" s="500" t="s">
        <v>708</v>
      </c>
      <c r="M79" s="500" t="s">
        <v>718</v>
      </c>
      <c r="N79" s="501">
        <v>1</v>
      </c>
      <c r="O79" s="502" t="s">
        <v>759</v>
      </c>
      <c r="P79" s="504"/>
      <c r="R79" s="504">
        <f t="shared" si="11"/>
        <v>2</v>
      </c>
      <c r="S79" s="504">
        <f t="shared" si="11"/>
        <v>0</v>
      </c>
      <c r="T79" s="504">
        <f t="shared" si="12"/>
        <v>0</v>
      </c>
      <c r="U79" s="504">
        <f t="shared" si="12"/>
        <v>0</v>
      </c>
      <c r="V79" s="504">
        <f t="shared" si="12"/>
        <v>0</v>
      </c>
      <c r="W79" s="504">
        <f t="shared" si="12"/>
        <v>0</v>
      </c>
      <c r="X79" s="504">
        <f t="shared" si="12"/>
        <v>0</v>
      </c>
    </row>
    <row r="80" spans="1:24" s="503" customFormat="1" ht="43.5" outlineLevel="1" x14ac:dyDescent="0.5">
      <c r="A80" s="481"/>
      <c r="B80" s="481"/>
      <c r="C80" s="505" t="s">
        <v>703</v>
      </c>
      <c r="D80" s="506" t="str">
        <f>VLOOKUP(C74,overview_of_services!$B$2:$I$88,6,FALSE)</f>
        <v>Total interlock</v>
      </c>
      <c r="E80" s="507" t="s">
        <v>707</v>
      </c>
      <c r="F80" s="499">
        <v>0</v>
      </c>
      <c r="G80" s="499">
        <v>0</v>
      </c>
      <c r="H80" s="499">
        <v>0</v>
      </c>
      <c r="I80" s="499">
        <v>0</v>
      </c>
      <c r="J80" s="499">
        <v>0</v>
      </c>
      <c r="K80" s="499">
        <v>0</v>
      </c>
      <c r="L80" s="500" t="s">
        <v>708</v>
      </c>
      <c r="M80" s="500" t="s">
        <v>718</v>
      </c>
      <c r="N80" s="501">
        <v>2</v>
      </c>
      <c r="O80" s="502" t="s">
        <v>759</v>
      </c>
      <c r="P80" s="504"/>
      <c r="R80" s="504">
        <f t="shared" si="11"/>
        <v>3</v>
      </c>
      <c r="S80" s="504">
        <f t="shared" si="11"/>
        <v>0</v>
      </c>
      <c r="T80" s="504">
        <f t="shared" si="12"/>
        <v>0</v>
      </c>
      <c r="U80" s="504">
        <f t="shared" si="12"/>
        <v>0</v>
      </c>
      <c r="V80" s="504">
        <f t="shared" si="12"/>
        <v>0</v>
      </c>
      <c r="W80" s="504">
        <f t="shared" si="12"/>
        <v>0</v>
      </c>
      <c r="X80" s="504">
        <f t="shared" si="12"/>
        <v>0</v>
      </c>
    </row>
    <row r="81" spans="1:24" s="503" customFormat="1" ht="35.25" customHeight="1" outlineLevel="1" x14ac:dyDescent="0.5">
      <c r="A81" s="481"/>
      <c r="B81" s="481"/>
      <c r="C81" s="505" t="s">
        <v>706</v>
      </c>
      <c r="D81" s="506">
        <f>VLOOKUP(C74,overview_of_services!$B$2:$I$88,7,FALSE)</f>
        <v>0</v>
      </c>
      <c r="E81" s="499"/>
      <c r="F81" s="499"/>
      <c r="G81" s="499"/>
      <c r="H81" s="499"/>
      <c r="I81" s="499"/>
      <c r="J81" s="499"/>
      <c r="K81" s="499"/>
      <c r="L81" s="500" t="s">
        <v>721</v>
      </c>
      <c r="M81" s="500"/>
      <c r="N81" s="501" t="s">
        <v>721</v>
      </c>
      <c r="O81" s="502" t="s">
        <v>721</v>
      </c>
      <c r="P81" s="504"/>
      <c r="R81" s="504">
        <f t="shared" si="11"/>
        <v>0</v>
      </c>
      <c r="S81" s="504">
        <f t="shared" si="11"/>
        <v>0</v>
      </c>
      <c r="T81" s="504">
        <f t="shared" si="12"/>
        <v>0</v>
      </c>
      <c r="U81" s="504">
        <f t="shared" si="12"/>
        <v>0</v>
      </c>
      <c r="V81" s="504">
        <f t="shared" si="12"/>
        <v>0</v>
      </c>
      <c r="W81" s="504">
        <f t="shared" si="12"/>
        <v>0</v>
      </c>
      <c r="X81" s="504">
        <f t="shared" si="12"/>
        <v>0</v>
      </c>
    </row>
    <row r="82" spans="1:24" s="503" customFormat="1" ht="35.25" customHeight="1" outlineLevel="1" x14ac:dyDescent="0.5">
      <c r="A82" s="481"/>
      <c r="B82" s="481"/>
      <c r="C82" s="505" t="s">
        <v>710</v>
      </c>
      <c r="D82" s="506">
        <f>VLOOKUP(C74,overview_of_services!$B$2:$I$88,8,FALSE)</f>
        <v>0</v>
      </c>
      <c r="E82" s="507"/>
      <c r="F82" s="499"/>
      <c r="G82" s="507"/>
      <c r="H82" s="507"/>
      <c r="I82" s="499"/>
      <c r="J82" s="499"/>
      <c r="K82" s="499"/>
      <c r="L82" s="500"/>
      <c r="M82" s="500"/>
      <c r="N82" s="501"/>
      <c r="O82" s="502"/>
      <c r="P82" s="504"/>
      <c r="R82" s="504">
        <f t="shared" si="11"/>
        <v>0</v>
      </c>
      <c r="S82" s="504">
        <f t="shared" si="11"/>
        <v>0</v>
      </c>
      <c r="T82" s="504">
        <f t="shared" si="12"/>
        <v>0</v>
      </c>
      <c r="U82" s="504">
        <f t="shared" si="12"/>
        <v>0</v>
      </c>
      <c r="V82" s="504">
        <f t="shared" si="12"/>
        <v>0</v>
      </c>
      <c r="W82" s="504">
        <f t="shared" si="12"/>
        <v>0</v>
      </c>
      <c r="X82" s="504">
        <f t="shared" si="12"/>
        <v>0</v>
      </c>
    </row>
    <row r="83" spans="1:24" s="503" customFormat="1" ht="6" customHeight="1" outlineLevel="2" thickBot="1" x14ac:dyDescent="0.4">
      <c r="A83" s="481"/>
      <c r="B83" s="481"/>
      <c r="C83" s="504"/>
      <c r="D83" s="504"/>
      <c r="E83" s="508"/>
      <c r="F83" s="508"/>
      <c r="G83" s="508"/>
      <c r="H83" s="508"/>
      <c r="I83" s="508"/>
      <c r="J83" s="508"/>
      <c r="K83" s="508"/>
      <c r="L83" s="504"/>
      <c r="M83" s="504"/>
      <c r="N83" s="504"/>
      <c r="O83" s="508"/>
      <c r="P83" s="504"/>
    </row>
    <row r="84" spans="1:24" s="503" customFormat="1" ht="30.75" customHeight="1" outlineLevel="2" thickBot="1" x14ac:dyDescent="0.4">
      <c r="A84" s="481"/>
      <c r="B84" s="481"/>
      <c r="C84" s="509"/>
      <c r="D84" s="509" t="s">
        <v>712</v>
      </c>
      <c r="E84" s="510" t="s">
        <v>729</v>
      </c>
      <c r="F84" s="511" t="s">
        <v>729</v>
      </c>
      <c r="G84" s="511" t="s">
        <v>729</v>
      </c>
      <c r="H84" s="511" t="s">
        <v>729</v>
      </c>
      <c r="I84" s="511" t="s">
        <v>729</v>
      </c>
      <c r="J84" s="511" t="s">
        <v>729</v>
      </c>
      <c r="K84" s="511" t="s">
        <v>729</v>
      </c>
      <c r="L84" s="511"/>
      <c r="M84" s="511"/>
      <c r="N84" s="511"/>
      <c r="O84" s="511"/>
      <c r="P84" s="504"/>
    </row>
    <row r="85" spans="1:24" s="503" customFormat="1" ht="30.75" customHeight="1" outlineLevel="2" thickBot="1" x14ac:dyDescent="0.4">
      <c r="A85" s="481"/>
      <c r="B85" s="481"/>
      <c r="C85" s="509"/>
      <c r="D85" s="509" t="s">
        <v>714</v>
      </c>
      <c r="E85" s="510" t="s">
        <v>30</v>
      </c>
      <c r="F85" s="512"/>
      <c r="G85" s="511"/>
      <c r="H85" s="511"/>
      <c r="I85" s="511"/>
      <c r="J85" s="511"/>
      <c r="K85" s="511"/>
      <c r="L85" s="510"/>
      <c r="M85" s="510"/>
      <c r="N85" s="513"/>
      <c r="O85" s="510"/>
      <c r="P85" s="504"/>
    </row>
    <row r="86" spans="1:24" ht="20.25" customHeight="1" outlineLevel="1" thickBot="1" x14ac:dyDescent="0.4">
      <c r="C86" s="481"/>
      <c r="D86" s="481"/>
      <c r="E86" s="481"/>
      <c r="F86" s="481"/>
      <c r="G86" s="482"/>
      <c r="H86" s="482"/>
      <c r="I86" s="482"/>
      <c r="J86" s="482"/>
      <c r="K86" s="482"/>
      <c r="L86" s="482"/>
      <c r="M86" s="482"/>
      <c r="N86" s="482"/>
      <c r="O86" s="482"/>
      <c r="P86" s="481"/>
    </row>
    <row r="87" spans="1:24" ht="17.25" customHeight="1" thickBot="1" x14ac:dyDescent="0.4">
      <c r="C87" s="483" t="s">
        <v>677</v>
      </c>
      <c r="D87" s="484" t="s">
        <v>678</v>
      </c>
      <c r="E87" s="481"/>
      <c r="F87" s="481"/>
      <c r="G87" s="482"/>
      <c r="H87" s="482"/>
      <c r="I87" s="482"/>
      <c r="J87" s="482"/>
      <c r="K87" s="482"/>
      <c r="L87" s="482"/>
      <c r="M87" s="482"/>
      <c r="N87" s="482"/>
      <c r="O87" s="482"/>
      <c r="P87" s="481"/>
    </row>
    <row r="88" spans="1:24" s="492" customFormat="1" ht="36.75" customHeight="1" thickBot="1" x14ac:dyDescent="0.7">
      <c r="A88" s="481"/>
      <c r="B88" s="486" t="s">
        <v>679</v>
      </c>
      <c r="C88" s="487" t="s">
        <v>206</v>
      </c>
      <c r="D88" s="514" t="str">
        <f>VLOOKUP(C88,overview_of_services!$B$2:$I$88,3,FALSE)</f>
        <v>Control of Thermal Energy Storage (TES) operation</v>
      </c>
      <c r="E88" s="489"/>
      <c r="F88" s="490" t="s">
        <v>680</v>
      </c>
      <c r="G88" s="578" t="str">
        <f>VLOOKUP(C88,overview_of_services!$B$2:$I$88,2,FALSE)</f>
        <v>Cooling control - demand side</v>
      </c>
      <c r="H88" s="578"/>
      <c r="I88" s="490"/>
      <c r="J88" s="491"/>
      <c r="K88" s="491"/>
      <c r="L88" s="491"/>
      <c r="M88" s="491"/>
      <c r="N88" s="491"/>
      <c r="O88" s="491"/>
      <c r="R88" s="492" t="s">
        <v>681</v>
      </c>
      <c r="S88" s="492">
        <f>ROW()</f>
        <v>88</v>
      </c>
    </row>
    <row r="89" spans="1:24" ht="5.25" customHeight="1" x14ac:dyDescent="0.35">
      <c r="C89" s="493"/>
      <c r="D89" s="493"/>
      <c r="E89" s="493"/>
      <c r="F89" s="493"/>
      <c r="G89" s="493"/>
      <c r="H89" s="493"/>
      <c r="I89" s="493"/>
      <c r="J89" s="493"/>
      <c r="K89" s="493"/>
      <c r="L89" s="493"/>
      <c r="M89" s="493"/>
      <c r="N89" s="493"/>
      <c r="O89" s="494"/>
      <c r="P89" s="481"/>
    </row>
    <row r="90" spans="1:24" ht="20.25" customHeight="1" outlineLevel="1" x14ac:dyDescent="0.35">
      <c r="C90" s="575" t="s">
        <v>682</v>
      </c>
      <c r="D90" s="575"/>
      <c r="E90" s="577" t="s">
        <v>683</v>
      </c>
      <c r="F90" s="577"/>
      <c r="G90" s="577"/>
      <c r="H90" s="577"/>
      <c r="I90" s="577"/>
      <c r="J90" s="577"/>
      <c r="K90" s="577"/>
      <c r="L90" s="573" t="s">
        <v>684</v>
      </c>
      <c r="M90" s="574"/>
      <c r="N90" s="569" t="s">
        <v>685</v>
      </c>
      <c r="O90" s="571" t="s">
        <v>686</v>
      </c>
      <c r="P90" s="481"/>
    </row>
    <row r="91" spans="1:24" ht="36.75" customHeight="1" outlineLevel="1" thickBot="1" x14ac:dyDescent="0.4">
      <c r="C91" s="576"/>
      <c r="D91" s="576"/>
      <c r="E91" s="495" t="s">
        <v>687</v>
      </c>
      <c r="F91" s="495" t="s">
        <v>688</v>
      </c>
      <c r="G91" s="495" t="s">
        <v>689</v>
      </c>
      <c r="H91" s="495" t="s">
        <v>690</v>
      </c>
      <c r="I91" s="495" t="s">
        <v>616</v>
      </c>
      <c r="J91" s="495" t="s">
        <v>691</v>
      </c>
      <c r="K91" s="495" t="s">
        <v>692</v>
      </c>
      <c r="L91" s="496" t="s">
        <v>693</v>
      </c>
      <c r="M91" s="496" t="s">
        <v>694</v>
      </c>
      <c r="N91" s="570"/>
      <c r="O91" s="572"/>
      <c r="P91" s="481"/>
    </row>
    <row r="92" spans="1:24" s="503" customFormat="1" ht="35.25" customHeight="1" outlineLevel="1" thickTop="1" x14ac:dyDescent="0.5">
      <c r="A92" s="481"/>
      <c r="B92" s="481"/>
      <c r="C92" s="497" t="s">
        <v>695</v>
      </c>
      <c r="D92" s="498" t="str">
        <f>VLOOKUP(C88,overview_of_services!$B$2:$I$88,4,FALSE)</f>
        <v>Continuous storage operation</v>
      </c>
      <c r="E92" s="499">
        <v>0</v>
      </c>
      <c r="F92" s="499">
        <v>0</v>
      </c>
      <c r="G92" s="499">
        <v>0</v>
      </c>
      <c r="H92" s="499">
        <v>0</v>
      </c>
      <c r="I92" s="499">
        <v>0</v>
      </c>
      <c r="J92" s="499">
        <v>0</v>
      </c>
      <c r="K92" s="499">
        <v>0</v>
      </c>
      <c r="L92" s="500" t="s">
        <v>696</v>
      </c>
      <c r="M92" s="500" t="s">
        <v>696</v>
      </c>
      <c r="N92" s="501">
        <v>0</v>
      </c>
      <c r="O92" s="502" t="s">
        <v>721</v>
      </c>
      <c r="P92" s="504"/>
      <c r="R92" s="504">
        <f t="shared" ref="R92:S96" si="13">IF(E92=0,0,(IF(E92="+",1,(IF(E92="++",2,(IF(E92="+++",3,(IF(E92="++++",4,(IF(E92="-",-1,(IF(E92="--",-2,(IF(E92="---",-3,(IF(E92="----",-4,"NA")))))))))))))))))</f>
        <v>0</v>
      </c>
      <c r="S92" s="504">
        <f t="shared" si="13"/>
        <v>0</v>
      </c>
      <c r="T92" s="504">
        <f t="shared" ref="T92:X96" si="14">IF(G92=0,0,(IF(G92="+",1,(IF(G92="++",2,(IF(G92="+++",3,(IF(G92="++++",4,(IF(G92="-",-1,(IF(G92="--",-2,(IF(G92="---",-3,(IF(G92="----",-4,"NA")))))))))))))))))</f>
        <v>0</v>
      </c>
      <c r="U92" s="504">
        <f t="shared" si="14"/>
        <v>0</v>
      </c>
      <c r="V92" s="504">
        <f t="shared" si="14"/>
        <v>0</v>
      </c>
      <c r="W92" s="504">
        <f t="shared" si="14"/>
        <v>0</v>
      </c>
      <c r="X92" s="504">
        <f t="shared" si="14"/>
        <v>0</v>
      </c>
    </row>
    <row r="93" spans="1:24" s="503" customFormat="1" ht="35.25" customHeight="1" outlineLevel="1" x14ac:dyDescent="0.5">
      <c r="A93" s="481"/>
      <c r="B93" s="481"/>
      <c r="C93" s="505" t="s">
        <v>699</v>
      </c>
      <c r="D93" s="506" t="str">
        <f>VLOOKUP(C88,overview_of_services!$B$2:$I$88,5,FALSE)</f>
        <v>Time-scheduled storage operation</v>
      </c>
      <c r="E93" s="499" t="s">
        <v>700</v>
      </c>
      <c r="F93" s="499">
        <v>0</v>
      </c>
      <c r="G93" s="499" t="s">
        <v>700</v>
      </c>
      <c r="H93" s="499">
        <v>0</v>
      </c>
      <c r="I93" s="499">
        <v>0</v>
      </c>
      <c r="J93" s="499">
        <v>0</v>
      </c>
      <c r="K93" s="499">
        <v>0</v>
      </c>
      <c r="L93" s="500" t="s">
        <v>708</v>
      </c>
      <c r="M93" s="500" t="s">
        <v>708</v>
      </c>
      <c r="N93" s="501">
        <v>1</v>
      </c>
      <c r="O93" s="502" t="s">
        <v>721</v>
      </c>
      <c r="P93" s="504"/>
      <c r="R93" s="504">
        <f t="shared" si="13"/>
        <v>1</v>
      </c>
      <c r="S93" s="504">
        <f t="shared" si="13"/>
        <v>0</v>
      </c>
      <c r="T93" s="504">
        <f t="shared" si="14"/>
        <v>1</v>
      </c>
      <c r="U93" s="504">
        <f t="shared" si="14"/>
        <v>0</v>
      </c>
      <c r="V93" s="504">
        <f t="shared" si="14"/>
        <v>0</v>
      </c>
      <c r="W93" s="504">
        <f t="shared" si="14"/>
        <v>0</v>
      </c>
      <c r="X93" s="504">
        <f t="shared" si="14"/>
        <v>0</v>
      </c>
    </row>
    <row r="94" spans="1:24" s="503" customFormat="1" ht="35.25" customHeight="1" outlineLevel="1" x14ac:dyDescent="0.5">
      <c r="A94" s="481"/>
      <c r="B94" s="481"/>
      <c r="C94" s="505" t="s">
        <v>703</v>
      </c>
      <c r="D94" s="506" t="str">
        <f>VLOOKUP(C88,overview_of_services!$B$2:$I$88,6,FALSE)</f>
        <v>Load prediction based storage operation</v>
      </c>
      <c r="E94" s="499" t="s">
        <v>704</v>
      </c>
      <c r="F94" s="499">
        <v>0</v>
      </c>
      <c r="G94" s="499" t="s">
        <v>700</v>
      </c>
      <c r="H94" s="499">
        <v>0</v>
      </c>
      <c r="I94" s="499">
        <v>0</v>
      </c>
      <c r="J94" s="499">
        <v>0</v>
      </c>
      <c r="K94" s="499">
        <v>0</v>
      </c>
      <c r="L94" s="500" t="s">
        <v>708</v>
      </c>
      <c r="M94" s="500" t="s">
        <v>708</v>
      </c>
      <c r="N94" s="501">
        <v>2</v>
      </c>
      <c r="O94" s="502" t="s">
        <v>721</v>
      </c>
      <c r="P94" s="504"/>
      <c r="R94" s="504">
        <f t="shared" si="13"/>
        <v>2</v>
      </c>
      <c r="S94" s="504">
        <f t="shared" si="13"/>
        <v>0</v>
      </c>
      <c r="T94" s="504">
        <f t="shared" si="14"/>
        <v>1</v>
      </c>
      <c r="U94" s="504">
        <f t="shared" si="14"/>
        <v>0</v>
      </c>
      <c r="V94" s="504">
        <f t="shared" si="14"/>
        <v>0</v>
      </c>
      <c r="W94" s="504">
        <f t="shared" si="14"/>
        <v>0</v>
      </c>
      <c r="X94" s="504">
        <f t="shared" si="14"/>
        <v>0</v>
      </c>
    </row>
    <row r="95" spans="1:24" s="503" customFormat="1" ht="35.25" customHeight="1" outlineLevel="1" x14ac:dyDescent="0.5">
      <c r="A95" s="481"/>
      <c r="B95" s="481"/>
      <c r="C95" s="505" t="s">
        <v>706</v>
      </c>
      <c r="D95" s="506">
        <f>VLOOKUP(C88,overview_of_services!$B$2:$I$88,7,FALSE)</f>
        <v>0</v>
      </c>
      <c r="E95" s="499"/>
      <c r="F95" s="499"/>
      <c r="G95" s="499"/>
      <c r="H95" s="499"/>
      <c r="I95" s="499"/>
      <c r="J95" s="499"/>
      <c r="K95" s="499"/>
      <c r="L95" s="500" t="s">
        <v>721</v>
      </c>
      <c r="M95" s="500"/>
      <c r="N95" s="501" t="s">
        <v>721</v>
      </c>
      <c r="O95" s="502" t="s">
        <v>721</v>
      </c>
      <c r="P95" s="504"/>
      <c r="R95" s="504">
        <f t="shared" si="13"/>
        <v>0</v>
      </c>
      <c r="S95" s="504">
        <f t="shared" si="13"/>
        <v>0</v>
      </c>
      <c r="T95" s="504">
        <f t="shared" si="14"/>
        <v>0</v>
      </c>
      <c r="U95" s="504">
        <f t="shared" si="14"/>
        <v>0</v>
      </c>
      <c r="V95" s="504">
        <f t="shared" si="14"/>
        <v>0</v>
      </c>
      <c r="W95" s="504">
        <f t="shared" si="14"/>
        <v>0</v>
      </c>
      <c r="X95" s="504">
        <f t="shared" si="14"/>
        <v>0</v>
      </c>
    </row>
    <row r="96" spans="1:24" s="503" customFormat="1" ht="35.25" customHeight="1" outlineLevel="1" x14ac:dyDescent="0.5">
      <c r="A96" s="481"/>
      <c r="B96" s="481"/>
      <c r="C96" s="505" t="s">
        <v>710</v>
      </c>
      <c r="D96" s="506">
        <f>VLOOKUP(C88,overview_of_services!$B$2:$I$88,8,FALSE)</f>
        <v>0</v>
      </c>
      <c r="E96" s="507"/>
      <c r="F96" s="499"/>
      <c r="G96" s="507"/>
      <c r="H96" s="507"/>
      <c r="I96" s="499"/>
      <c r="J96" s="499"/>
      <c r="K96" s="499"/>
      <c r="L96" s="500"/>
      <c r="M96" s="500"/>
      <c r="N96" s="501"/>
      <c r="O96" s="502"/>
      <c r="P96" s="504"/>
      <c r="R96" s="504">
        <f t="shared" si="13"/>
        <v>0</v>
      </c>
      <c r="S96" s="504">
        <f t="shared" si="13"/>
        <v>0</v>
      </c>
      <c r="T96" s="504">
        <f t="shared" si="14"/>
        <v>0</v>
      </c>
      <c r="U96" s="504">
        <f t="shared" si="14"/>
        <v>0</v>
      </c>
      <c r="V96" s="504">
        <f t="shared" si="14"/>
        <v>0</v>
      </c>
      <c r="W96" s="504">
        <f t="shared" si="14"/>
        <v>0</v>
      </c>
      <c r="X96" s="504">
        <f t="shared" si="14"/>
        <v>0</v>
      </c>
    </row>
    <row r="97" spans="1:24" s="503" customFormat="1" ht="6" customHeight="1" outlineLevel="2" thickBot="1" x14ac:dyDescent="0.4">
      <c r="A97" s="481"/>
      <c r="B97" s="481"/>
      <c r="C97" s="504"/>
      <c r="D97" s="504"/>
      <c r="E97" s="508"/>
      <c r="F97" s="508"/>
      <c r="G97" s="508"/>
      <c r="H97" s="508"/>
      <c r="I97" s="508"/>
      <c r="J97" s="508"/>
      <c r="K97" s="508"/>
      <c r="L97" s="504"/>
      <c r="M97" s="504"/>
      <c r="N97" s="504"/>
      <c r="O97" s="508"/>
      <c r="P97" s="504"/>
    </row>
    <row r="98" spans="1:24" s="503" customFormat="1" ht="30.75" customHeight="1" outlineLevel="2" thickBot="1" x14ac:dyDescent="0.4">
      <c r="A98" s="481"/>
      <c r="B98" s="481"/>
      <c r="C98" s="509"/>
      <c r="D98" s="509" t="s">
        <v>712</v>
      </c>
      <c r="E98" s="510" t="s">
        <v>729</v>
      </c>
      <c r="F98" s="511" t="s">
        <v>729</v>
      </c>
      <c r="G98" s="511" t="s">
        <v>729</v>
      </c>
      <c r="H98" s="511" t="s">
        <v>729</v>
      </c>
      <c r="I98" s="511" t="s">
        <v>729</v>
      </c>
      <c r="J98" s="511" t="s">
        <v>729</v>
      </c>
      <c r="K98" s="511" t="s">
        <v>729</v>
      </c>
      <c r="L98" s="511" t="s">
        <v>729</v>
      </c>
      <c r="M98" s="511" t="s">
        <v>729</v>
      </c>
      <c r="N98" s="511" t="s">
        <v>729</v>
      </c>
      <c r="O98" s="511" t="s">
        <v>729</v>
      </c>
      <c r="P98" s="504"/>
    </row>
    <row r="99" spans="1:24" s="503" customFormat="1" ht="30.75" customHeight="1" outlineLevel="2" thickBot="1" x14ac:dyDescent="0.4">
      <c r="A99" s="481"/>
      <c r="B99" s="481"/>
      <c r="C99" s="509"/>
      <c r="D99" s="509" t="s">
        <v>714</v>
      </c>
      <c r="E99" s="510" t="s">
        <v>30</v>
      </c>
      <c r="F99" s="512"/>
      <c r="G99" s="511"/>
      <c r="H99" s="511"/>
      <c r="I99" s="511"/>
      <c r="J99" s="511"/>
      <c r="K99" s="511"/>
      <c r="L99" s="510"/>
      <c r="M99" s="510"/>
      <c r="N99" s="513"/>
      <c r="O99" s="510"/>
      <c r="P99" s="504"/>
    </row>
    <row r="100" spans="1:24" ht="20.25" customHeight="1" outlineLevel="1" x14ac:dyDescent="0.35">
      <c r="C100" s="481"/>
      <c r="D100" s="481"/>
      <c r="E100" s="481"/>
      <c r="F100" s="481"/>
      <c r="G100" s="482"/>
      <c r="H100" s="482"/>
      <c r="I100" s="482"/>
      <c r="J100" s="482"/>
      <c r="K100" s="482"/>
      <c r="L100" s="482"/>
      <c r="M100" s="482"/>
      <c r="N100" s="482"/>
      <c r="O100" s="482"/>
      <c r="P100" s="481"/>
    </row>
    <row r="101" spans="1:24" ht="20.25" customHeight="1" outlineLevel="1" thickBot="1" x14ac:dyDescent="0.4">
      <c r="C101" s="481"/>
      <c r="D101" s="481"/>
      <c r="E101" s="481"/>
      <c r="F101" s="481"/>
      <c r="G101" s="482"/>
      <c r="H101" s="482"/>
      <c r="I101" s="482"/>
      <c r="J101" s="482"/>
      <c r="K101" s="482"/>
      <c r="L101" s="482"/>
      <c r="M101" s="482"/>
      <c r="N101" s="482"/>
      <c r="O101" s="482"/>
      <c r="P101" s="481"/>
    </row>
    <row r="102" spans="1:24" ht="17.25" customHeight="1" thickBot="1" x14ac:dyDescent="0.4">
      <c r="C102" s="483" t="s">
        <v>677</v>
      </c>
      <c r="D102" s="484" t="s">
        <v>678</v>
      </c>
      <c r="E102" s="481"/>
      <c r="F102" s="481"/>
      <c r="G102" s="482"/>
      <c r="H102" s="482"/>
      <c r="I102" s="482"/>
      <c r="J102" s="482"/>
      <c r="K102" s="482"/>
      <c r="L102" s="482"/>
      <c r="M102" s="482"/>
      <c r="N102" s="482"/>
      <c r="O102" s="482"/>
      <c r="P102" s="481"/>
    </row>
    <row r="103" spans="1:24" s="492" customFormat="1" ht="36.75" customHeight="1" thickBot="1" x14ac:dyDescent="0.7">
      <c r="A103" s="481"/>
      <c r="B103" s="486" t="s">
        <v>679</v>
      </c>
      <c r="C103" s="487" t="s">
        <v>210</v>
      </c>
      <c r="D103" s="514" t="str">
        <f>VLOOKUP(C103,overview_of_services!$B$2:$I$88,3,FALSE)</f>
        <v>Generator control for cooling</v>
      </c>
      <c r="E103" s="489"/>
      <c r="F103" s="490" t="s">
        <v>680</v>
      </c>
      <c r="G103" s="578" t="str">
        <f>VLOOKUP(C103,overview_of_services!$B$2:$I$88,2,FALSE)</f>
        <v>Control cooling production facilities</v>
      </c>
      <c r="H103" s="578"/>
      <c r="I103" s="490"/>
      <c r="J103" s="491"/>
      <c r="K103" s="491"/>
      <c r="L103" s="491"/>
      <c r="M103" s="491"/>
      <c r="N103" s="491"/>
      <c r="O103" s="491"/>
      <c r="R103" s="492" t="s">
        <v>681</v>
      </c>
      <c r="S103" s="492">
        <f>ROW()</f>
        <v>103</v>
      </c>
    </row>
    <row r="104" spans="1:24" ht="5.25" customHeight="1" x14ac:dyDescent="0.35">
      <c r="C104" s="493"/>
      <c r="D104" s="493"/>
      <c r="E104" s="493"/>
      <c r="F104" s="493"/>
      <c r="G104" s="493"/>
      <c r="H104" s="493"/>
      <c r="I104" s="493"/>
      <c r="J104" s="493"/>
      <c r="K104" s="493"/>
      <c r="L104" s="493"/>
      <c r="M104" s="493"/>
      <c r="N104" s="493"/>
      <c r="O104" s="494"/>
      <c r="P104" s="481"/>
    </row>
    <row r="105" spans="1:24" ht="20.25" customHeight="1" outlineLevel="1" x14ac:dyDescent="0.35">
      <c r="C105" s="575" t="s">
        <v>682</v>
      </c>
      <c r="D105" s="575"/>
      <c r="E105" s="577" t="s">
        <v>683</v>
      </c>
      <c r="F105" s="577"/>
      <c r="G105" s="577"/>
      <c r="H105" s="577"/>
      <c r="I105" s="577"/>
      <c r="J105" s="577"/>
      <c r="K105" s="577"/>
      <c r="L105" s="573" t="s">
        <v>684</v>
      </c>
      <c r="M105" s="574"/>
      <c r="N105" s="569" t="s">
        <v>685</v>
      </c>
      <c r="O105" s="571" t="s">
        <v>686</v>
      </c>
      <c r="P105" s="481"/>
    </row>
    <row r="106" spans="1:24" ht="36.75" customHeight="1" outlineLevel="1" thickBot="1" x14ac:dyDescent="0.4">
      <c r="C106" s="576"/>
      <c r="D106" s="576"/>
      <c r="E106" s="495" t="s">
        <v>687</v>
      </c>
      <c r="F106" s="495" t="s">
        <v>688</v>
      </c>
      <c r="G106" s="495" t="s">
        <v>689</v>
      </c>
      <c r="H106" s="495" t="s">
        <v>690</v>
      </c>
      <c r="I106" s="495" t="s">
        <v>616</v>
      </c>
      <c r="J106" s="495" t="s">
        <v>691</v>
      </c>
      <c r="K106" s="495" t="s">
        <v>692</v>
      </c>
      <c r="L106" s="496" t="s">
        <v>693</v>
      </c>
      <c r="M106" s="496" t="s">
        <v>694</v>
      </c>
      <c r="N106" s="570"/>
      <c r="O106" s="572"/>
      <c r="P106" s="481"/>
    </row>
    <row r="107" spans="1:24" s="503" customFormat="1" ht="35.25" customHeight="1" outlineLevel="1" thickTop="1" x14ac:dyDescent="0.5">
      <c r="A107" s="481"/>
      <c r="B107" s="481"/>
      <c r="C107" s="497" t="s">
        <v>695</v>
      </c>
      <c r="D107" s="498" t="str">
        <f>VLOOKUP(C103,overview_of_services!$B$2:$I$88,4,FALSE)</f>
        <v>Constant temperature control</v>
      </c>
      <c r="E107" s="499">
        <v>0</v>
      </c>
      <c r="F107" s="499">
        <v>0</v>
      </c>
      <c r="G107" s="499">
        <v>0</v>
      </c>
      <c r="H107" s="499">
        <v>0</v>
      </c>
      <c r="I107" s="499">
        <v>0</v>
      </c>
      <c r="J107" s="499">
        <v>0</v>
      </c>
      <c r="K107" s="499">
        <v>0</v>
      </c>
      <c r="L107" s="500" t="s">
        <v>696</v>
      </c>
      <c r="M107" s="500" t="s">
        <v>696</v>
      </c>
      <c r="N107" s="501">
        <v>0</v>
      </c>
      <c r="O107" s="502" t="s">
        <v>697</v>
      </c>
      <c r="P107" s="504"/>
      <c r="R107" s="504">
        <f t="shared" ref="R107:S111" si="15">IF(E107=0,0,(IF(E107="+",1,(IF(E107="++",2,(IF(E107="+++",3,(IF(E107="++++",4,(IF(E107="-",-1,(IF(E107="--",-2,(IF(E107="---",-3,(IF(E107="----",-4,"NA")))))))))))))))))</f>
        <v>0</v>
      </c>
      <c r="S107" s="504">
        <f t="shared" si="15"/>
        <v>0</v>
      </c>
      <c r="T107" s="504">
        <f t="shared" ref="T107:X111" si="16">IF(G107=0,0,(IF(G107="+",1,(IF(G107="++",2,(IF(G107="+++",3,(IF(G107="++++",4,(IF(G107="-",-1,(IF(G107="--",-2,(IF(G107="---",-3,(IF(G107="----",-4,"NA")))))))))))))))))</f>
        <v>0</v>
      </c>
      <c r="U107" s="504">
        <f t="shared" si="16"/>
        <v>0</v>
      </c>
      <c r="V107" s="504">
        <f t="shared" si="16"/>
        <v>0</v>
      </c>
      <c r="W107" s="504">
        <f t="shared" si="16"/>
        <v>0</v>
      </c>
      <c r="X107" s="504">
        <f t="shared" si="16"/>
        <v>0</v>
      </c>
    </row>
    <row r="108" spans="1:24" s="503" customFormat="1" ht="29" outlineLevel="1" x14ac:dyDescent="0.5">
      <c r="A108" s="481"/>
      <c r="B108" s="481"/>
      <c r="C108" s="505" t="s">
        <v>699</v>
      </c>
      <c r="D108" s="506" t="str">
        <f>VLOOKUP(C103,overview_of_services!$B$2:$I$88,5,FALSE)</f>
        <v>Variable temperature control depending on outdoor temperature</v>
      </c>
      <c r="E108" s="499" t="s">
        <v>700</v>
      </c>
      <c r="F108" s="499">
        <v>0</v>
      </c>
      <c r="G108" s="499" t="s">
        <v>700</v>
      </c>
      <c r="H108" s="499">
        <v>0</v>
      </c>
      <c r="I108" s="499">
        <v>0</v>
      </c>
      <c r="J108" s="499">
        <v>0</v>
      </c>
      <c r="K108" s="499">
        <v>0</v>
      </c>
      <c r="L108" s="500" t="s">
        <v>708</v>
      </c>
      <c r="M108" s="500" t="s">
        <v>718</v>
      </c>
      <c r="N108" s="501">
        <v>1</v>
      </c>
      <c r="O108" s="502" t="s">
        <v>730</v>
      </c>
      <c r="P108" s="504"/>
      <c r="R108" s="504">
        <f t="shared" si="15"/>
        <v>1</v>
      </c>
      <c r="S108" s="504">
        <f t="shared" si="15"/>
        <v>0</v>
      </c>
      <c r="T108" s="504">
        <f t="shared" si="16"/>
        <v>1</v>
      </c>
      <c r="U108" s="504">
        <f t="shared" si="16"/>
        <v>0</v>
      </c>
      <c r="V108" s="504">
        <f t="shared" si="16"/>
        <v>0</v>
      </c>
      <c r="W108" s="504">
        <f t="shared" si="16"/>
        <v>0</v>
      </c>
      <c r="X108" s="504">
        <f t="shared" si="16"/>
        <v>0</v>
      </c>
    </row>
    <row r="109" spans="1:24" s="503" customFormat="1" ht="43.5" outlineLevel="1" x14ac:dyDescent="0.5">
      <c r="A109" s="481"/>
      <c r="B109" s="481"/>
      <c r="C109" s="505" t="s">
        <v>703</v>
      </c>
      <c r="D109" s="506" t="str">
        <f>VLOOKUP(C103,overview_of_services!$B$2:$I$88,6,FALSE)</f>
        <v>Variable temperature control depending on the load</v>
      </c>
      <c r="E109" s="507" t="s">
        <v>704</v>
      </c>
      <c r="F109" s="499">
        <v>0</v>
      </c>
      <c r="G109" s="507" t="s">
        <v>704</v>
      </c>
      <c r="H109" s="499">
        <v>0</v>
      </c>
      <c r="I109" s="499">
        <v>0</v>
      </c>
      <c r="J109" s="499">
        <v>0</v>
      </c>
      <c r="K109" s="499">
        <v>0</v>
      </c>
      <c r="L109" s="500" t="s">
        <v>708</v>
      </c>
      <c r="M109" s="500" t="s">
        <v>708</v>
      </c>
      <c r="N109" s="501">
        <v>2</v>
      </c>
      <c r="O109" s="502" t="s">
        <v>760</v>
      </c>
      <c r="P109" s="504"/>
      <c r="R109" s="504">
        <f t="shared" si="15"/>
        <v>2</v>
      </c>
      <c r="S109" s="504">
        <f t="shared" si="15"/>
        <v>0</v>
      </c>
      <c r="T109" s="504">
        <f t="shared" si="16"/>
        <v>2</v>
      </c>
      <c r="U109" s="504">
        <f t="shared" si="16"/>
        <v>0</v>
      </c>
      <c r="V109" s="504">
        <f t="shared" si="16"/>
        <v>0</v>
      </c>
      <c r="W109" s="504">
        <f t="shared" si="16"/>
        <v>0</v>
      </c>
      <c r="X109" s="504">
        <f t="shared" si="16"/>
        <v>0</v>
      </c>
    </row>
    <row r="110" spans="1:24" s="503" customFormat="1" ht="35.25" customHeight="1" outlineLevel="1" x14ac:dyDescent="0.5">
      <c r="A110" s="481"/>
      <c r="B110" s="481"/>
      <c r="C110" s="505" t="s">
        <v>706</v>
      </c>
      <c r="D110" s="506">
        <f>VLOOKUP(C103,overview_of_services!$B$2:$I$88,7,FALSE)</f>
        <v>0</v>
      </c>
      <c r="E110" s="499"/>
      <c r="F110" s="499"/>
      <c r="G110" s="499"/>
      <c r="H110" s="499"/>
      <c r="I110" s="499"/>
      <c r="J110" s="499"/>
      <c r="K110" s="499"/>
      <c r="L110" s="500" t="s">
        <v>721</v>
      </c>
      <c r="M110" s="500"/>
      <c r="N110" s="501" t="s">
        <v>721</v>
      </c>
      <c r="O110" s="502" t="s">
        <v>721</v>
      </c>
      <c r="P110" s="504"/>
      <c r="R110" s="504">
        <f t="shared" si="15"/>
        <v>0</v>
      </c>
      <c r="S110" s="504">
        <f t="shared" si="15"/>
        <v>0</v>
      </c>
      <c r="T110" s="504">
        <f t="shared" si="16"/>
        <v>0</v>
      </c>
      <c r="U110" s="504">
        <f t="shared" si="16"/>
        <v>0</v>
      </c>
      <c r="V110" s="504">
        <f t="shared" si="16"/>
        <v>0</v>
      </c>
      <c r="W110" s="504">
        <f t="shared" si="16"/>
        <v>0</v>
      </c>
      <c r="X110" s="504">
        <f t="shared" si="16"/>
        <v>0</v>
      </c>
    </row>
    <row r="111" spans="1:24" s="503" customFormat="1" ht="35.25" customHeight="1" outlineLevel="1" x14ac:dyDescent="0.5">
      <c r="A111" s="481"/>
      <c r="B111" s="481"/>
      <c r="C111" s="505" t="s">
        <v>710</v>
      </c>
      <c r="D111" s="506">
        <f>VLOOKUP(C103,overview_of_services!$B$2:$I$88,8,FALSE)</f>
        <v>0</v>
      </c>
      <c r="E111" s="507"/>
      <c r="F111" s="499"/>
      <c r="G111" s="507"/>
      <c r="H111" s="507"/>
      <c r="I111" s="499"/>
      <c r="J111" s="499"/>
      <c r="K111" s="499"/>
      <c r="L111" s="500"/>
      <c r="M111" s="500"/>
      <c r="N111" s="501"/>
      <c r="O111" s="502"/>
      <c r="P111" s="504"/>
      <c r="R111" s="504">
        <f t="shared" si="15"/>
        <v>0</v>
      </c>
      <c r="S111" s="504">
        <f t="shared" si="15"/>
        <v>0</v>
      </c>
      <c r="T111" s="504">
        <f t="shared" si="16"/>
        <v>0</v>
      </c>
      <c r="U111" s="504">
        <f t="shared" si="16"/>
        <v>0</v>
      </c>
      <c r="V111" s="504">
        <f t="shared" si="16"/>
        <v>0</v>
      </c>
      <c r="W111" s="504">
        <f t="shared" si="16"/>
        <v>0</v>
      </c>
      <c r="X111" s="504">
        <f t="shared" si="16"/>
        <v>0</v>
      </c>
    </row>
    <row r="112" spans="1:24" s="503" customFormat="1" ht="6" customHeight="1" outlineLevel="2" thickBot="1" x14ac:dyDescent="0.4">
      <c r="A112" s="481"/>
      <c r="B112" s="481"/>
      <c r="C112" s="504"/>
      <c r="D112" s="504"/>
      <c r="E112" s="508"/>
      <c r="F112" s="508"/>
      <c r="G112" s="508"/>
      <c r="H112" s="508"/>
      <c r="I112" s="508"/>
      <c r="J112" s="508"/>
      <c r="K112" s="508"/>
      <c r="L112" s="504"/>
      <c r="M112" s="504"/>
      <c r="N112" s="504"/>
      <c r="O112" s="508"/>
      <c r="P112" s="504"/>
    </row>
    <row r="113" spans="1:24" s="503" customFormat="1" ht="30.75" customHeight="1" outlineLevel="2" thickBot="1" x14ac:dyDescent="0.4">
      <c r="A113" s="481"/>
      <c r="B113" s="481"/>
      <c r="C113" s="509"/>
      <c r="D113" s="509" t="s">
        <v>712</v>
      </c>
      <c r="E113" s="510" t="s">
        <v>729</v>
      </c>
      <c r="F113" s="511" t="s">
        <v>729</v>
      </c>
      <c r="G113" s="511" t="s">
        <v>729</v>
      </c>
      <c r="H113" s="511" t="s">
        <v>729</v>
      </c>
      <c r="I113" s="511" t="s">
        <v>729</v>
      </c>
      <c r="J113" s="511" t="s">
        <v>729</v>
      </c>
      <c r="K113" s="511" t="s">
        <v>729</v>
      </c>
      <c r="L113" s="511" t="s">
        <v>729</v>
      </c>
      <c r="M113" s="511" t="s">
        <v>729</v>
      </c>
      <c r="N113" s="511" t="s">
        <v>729</v>
      </c>
      <c r="O113" s="511" t="s">
        <v>729</v>
      </c>
      <c r="P113" s="504"/>
    </row>
    <row r="114" spans="1:24" s="503" customFormat="1" ht="30.75" customHeight="1" outlineLevel="2" thickBot="1" x14ac:dyDescent="0.4">
      <c r="A114" s="481"/>
      <c r="B114" s="481"/>
      <c r="C114" s="509"/>
      <c r="D114" s="509" t="s">
        <v>714</v>
      </c>
      <c r="E114" s="510" t="s">
        <v>30</v>
      </c>
      <c r="F114" s="512"/>
      <c r="G114" s="511"/>
      <c r="H114" s="511"/>
      <c r="I114" s="511"/>
      <c r="J114" s="511"/>
      <c r="K114" s="511"/>
      <c r="L114" s="510"/>
      <c r="M114" s="510"/>
      <c r="N114" s="513"/>
      <c r="O114" s="510"/>
      <c r="P114" s="504"/>
    </row>
    <row r="115" spans="1:24" ht="20.25" customHeight="1" outlineLevel="1" thickBot="1" x14ac:dyDescent="0.4">
      <c r="C115" s="481"/>
      <c r="D115" s="481"/>
      <c r="E115" s="481"/>
      <c r="F115" s="481"/>
      <c r="G115" s="482"/>
      <c r="H115" s="482"/>
      <c r="I115" s="482"/>
      <c r="J115" s="482"/>
      <c r="K115" s="482"/>
      <c r="L115" s="482"/>
      <c r="M115" s="482"/>
      <c r="N115" s="482"/>
      <c r="O115" s="482"/>
      <c r="P115" s="481"/>
    </row>
    <row r="116" spans="1:24" ht="17.25" customHeight="1" thickBot="1" x14ac:dyDescent="0.4">
      <c r="C116" s="483" t="s">
        <v>677</v>
      </c>
      <c r="D116" s="484" t="s">
        <v>678</v>
      </c>
      <c r="E116" s="481"/>
      <c r="F116" s="481"/>
      <c r="G116" s="482"/>
      <c r="H116" s="482"/>
      <c r="I116" s="482"/>
      <c r="J116" s="482"/>
      <c r="K116" s="482"/>
      <c r="L116" s="482"/>
      <c r="M116" s="482"/>
      <c r="N116" s="482"/>
      <c r="O116" s="482"/>
      <c r="P116" s="481"/>
    </row>
    <row r="117" spans="1:24" s="492" customFormat="1" ht="36.75" customHeight="1" thickBot="1" x14ac:dyDescent="0.7">
      <c r="A117" s="481"/>
      <c r="B117" s="486" t="s">
        <v>679</v>
      </c>
      <c r="C117" s="487" t="s">
        <v>214</v>
      </c>
      <c r="D117" s="514" t="str">
        <f>VLOOKUP(C117,overview_of_services!$B$2:$I$88,3,FALSE)</f>
        <v>Sequencing of different cooling generators</v>
      </c>
      <c r="E117" s="489"/>
      <c r="F117" s="490" t="s">
        <v>680</v>
      </c>
      <c r="G117" s="578" t="str">
        <f>VLOOKUP(C117,overview_of_services!$B$2:$I$88,2,FALSE)</f>
        <v>Control cooling production facilities</v>
      </c>
      <c r="H117" s="578"/>
      <c r="I117" s="490"/>
      <c r="J117" s="491"/>
      <c r="K117" s="491"/>
      <c r="L117" s="491"/>
      <c r="M117" s="491"/>
      <c r="N117" s="491"/>
      <c r="O117" s="491"/>
      <c r="R117" s="492" t="s">
        <v>681</v>
      </c>
      <c r="S117" s="492">
        <f>ROW()</f>
        <v>117</v>
      </c>
    </row>
    <row r="118" spans="1:24" ht="5.25" customHeight="1" x14ac:dyDescent="0.35">
      <c r="C118" s="493"/>
      <c r="D118" s="493"/>
      <c r="E118" s="493"/>
      <c r="F118" s="493"/>
      <c r="G118" s="493"/>
      <c r="H118" s="493"/>
      <c r="I118" s="493"/>
      <c r="J118" s="493"/>
      <c r="K118" s="493"/>
      <c r="L118" s="493"/>
      <c r="M118" s="493"/>
      <c r="N118" s="493"/>
      <c r="O118" s="494"/>
      <c r="P118" s="481"/>
    </row>
    <row r="119" spans="1:24" ht="20.25" customHeight="1" outlineLevel="1" x14ac:dyDescent="0.35">
      <c r="C119" s="575" t="s">
        <v>682</v>
      </c>
      <c r="D119" s="575"/>
      <c r="E119" s="577" t="s">
        <v>683</v>
      </c>
      <c r="F119" s="577"/>
      <c r="G119" s="577"/>
      <c r="H119" s="577"/>
      <c r="I119" s="577"/>
      <c r="J119" s="577"/>
      <c r="K119" s="577"/>
      <c r="L119" s="573" t="s">
        <v>684</v>
      </c>
      <c r="M119" s="574"/>
      <c r="N119" s="569" t="s">
        <v>685</v>
      </c>
      <c r="O119" s="571" t="s">
        <v>686</v>
      </c>
      <c r="P119" s="481"/>
    </row>
    <row r="120" spans="1:24" ht="36.75" customHeight="1" outlineLevel="1" thickBot="1" x14ac:dyDescent="0.4">
      <c r="C120" s="576"/>
      <c r="D120" s="576"/>
      <c r="E120" s="495" t="s">
        <v>687</v>
      </c>
      <c r="F120" s="495" t="s">
        <v>688</v>
      </c>
      <c r="G120" s="495" t="s">
        <v>689</v>
      </c>
      <c r="H120" s="495" t="s">
        <v>690</v>
      </c>
      <c r="I120" s="495" t="s">
        <v>616</v>
      </c>
      <c r="J120" s="495" t="s">
        <v>691</v>
      </c>
      <c r="K120" s="495" t="s">
        <v>692</v>
      </c>
      <c r="L120" s="496" t="s">
        <v>693</v>
      </c>
      <c r="M120" s="496" t="s">
        <v>694</v>
      </c>
      <c r="N120" s="570"/>
      <c r="O120" s="572"/>
      <c r="P120" s="481"/>
    </row>
    <row r="121" spans="1:24" s="503" customFormat="1" ht="35.25" customHeight="1" outlineLevel="1" thickTop="1" x14ac:dyDescent="0.5">
      <c r="A121" s="481"/>
      <c r="B121" s="481"/>
      <c r="C121" s="497" t="s">
        <v>695</v>
      </c>
      <c r="D121" s="498" t="str">
        <f>VLOOKUP(C117,overview_of_services!$B$2:$I$88,4,FALSE)</f>
        <v>Priorities only based on running times</v>
      </c>
      <c r="E121" s="499">
        <v>0</v>
      </c>
      <c r="F121" s="499">
        <v>0</v>
      </c>
      <c r="G121" s="499">
        <v>0</v>
      </c>
      <c r="H121" s="499">
        <v>0</v>
      </c>
      <c r="I121" s="499">
        <v>0</v>
      </c>
      <c r="J121" s="499">
        <v>0</v>
      </c>
      <c r="K121" s="499">
        <v>0</v>
      </c>
      <c r="L121" s="500" t="s">
        <v>696</v>
      </c>
      <c r="M121" s="500" t="s">
        <v>696</v>
      </c>
      <c r="N121" s="501">
        <v>0</v>
      </c>
      <c r="O121" s="502" t="s">
        <v>697</v>
      </c>
      <c r="P121" s="504"/>
      <c r="R121" s="504">
        <f t="shared" ref="R121:S125" si="17">IF(E121=0,0,(IF(E121="+",1,(IF(E121="++",2,(IF(E121="+++",3,(IF(E121="++++",4,(IF(E121="-",-1,(IF(E121="--",-2,(IF(E121="---",-3,(IF(E121="----",-4,"NA")))))))))))))))))</f>
        <v>0</v>
      </c>
      <c r="S121" s="504">
        <f t="shared" si="17"/>
        <v>0</v>
      </c>
      <c r="T121" s="504">
        <f t="shared" ref="T121:X125" si="18">IF(G121=0,0,(IF(G121="+",1,(IF(G121="++",2,(IF(G121="+++",3,(IF(G121="++++",4,(IF(G121="-",-1,(IF(G121="--",-2,(IF(G121="---",-3,(IF(G121="----",-4,"NA")))))))))))))))))</f>
        <v>0</v>
      </c>
      <c r="U121" s="504">
        <f t="shared" si="18"/>
        <v>0</v>
      </c>
      <c r="V121" s="504">
        <f t="shared" si="18"/>
        <v>0</v>
      </c>
      <c r="W121" s="504">
        <f t="shared" si="18"/>
        <v>0</v>
      </c>
      <c r="X121" s="504">
        <f t="shared" si="18"/>
        <v>0</v>
      </c>
    </row>
    <row r="122" spans="1:24" s="503" customFormat="1" ht="43.5" outlineLevel="1" x14ac:dyDescent="0.5">
      <c r="A122" s="481"/>
      <c r="B122" s="481"/>
      <c r="C122" s="505" t="s">
        <v>699</v>
      </c>
      <c r="D122" s="506" t="str">
        <f>VLOOKUP(C117,overview_of_services!$B$2:$I$88,5,FALSE)</f>
        <v>Fixed sequencing based on loads only: e.g. depending on the generators characteristics such as absorption chiller vs. centrifugal chiller</v>
      </c>
      <c r="E122" s="499" t="s">
        <v>700</v>
      </c>
      <c r="F122" s="499" t="s">
        <v>700</v>
      </c>
      <c r="G122" s="499">
        <v>0</v>
      </c>
      <c r="H122" s="499">
        <v>0</v>
      </c>
      <c r="I122" s="499">
        <v>0</v>
      </c>
      <c r="J122" s="499">
        <v>0</v>
      </c>
      <c r="K122" s="499">
        <v>0</v>
      </c>
      <c r="L122" s="500" t="s">
        <v>708</v>
      </c>
      <c r="M122" s="500" t="s">
        <v>718</v>
      </c>
      <c r="N122" s="501">
        <v>1</v>
      </c>
      <c r="O122" s="502" t="s">
        <v>761</v>
      </c>
      <c r="P122" s="504"/>
      <c r="R122" s="504">
        <f t="shared" si="17"/>
        <v>1</v>
      </c>
      <c r="S122" s="504">
        <f t="shared" si="17"/>
        <v>1</v>
      </c>
      <c r="T122" s="504">
        <f t="shared" si="18"/>
        <v>0</v>
      </c>
      <c r="U122" s="504">
        <f t="shared" si="18"/>
        <v>0</v>
      </c>
      <c r="V122" s="504">
        <f t="shared" si="18"/>
        <v>0</v>
      </c>
      <c r="W122" s="504">
        <f t="shared" si="18"/>
        <v>0</v>
      </c>
      <c r="X122" s="504">
        <f t="shared" si="18"/>
        <v>0</v>
      </c>
    </row>
    <row r="123" spans="1:24" s="503" customFormat="1" ht="72.5" outlineLevel="1" x14ac:dyDescent="0.5">
      <c r="A123" s="481"/>
      <c r="B123" s="481"/>
      <c r="C123" s="505" t="s">
        <v>703</v>
      </c>
      <c r="D123" s="506" t="str">
        <f>VLOOKUP(C117,overview_of_services!$B$2:$I$88,6,FALSE)</f>
        <v>Priorities based on generator efficiency and characteristics: the generator operational control is set individually to available generators so that they operate with an overall high degree efficiency</v>
      </c>
      <c r="E123" s="499" t="s">
        <v>700</v>
      </c>
      <c r="F123" s="499" t="s">
        <v>700</v>
      </c>
      <c r="G123" s="499">
        <v>0</v>
      </c>
      <c r="H123" s="499">
        <v>0</v>
      </c>
      <c r="I123" s="499">
        <v>0</v>
      </c>
      <c r="J123" s="499">
        <v>0</v>
      </c>
      <c r="K123" s="499">
        <v>0</v>
      </c>
      <c r="L123" s="500" t="s">
        <v>708</v>
      </c>
      <c r="M123" s="500" t="s">
        <v>708</v>
      </c>
      <c r="N123" s="501">
        <v>2</v>
      </c>
      <c r="O123" s="502" t="s">
        <v>762</v>
      </c>
      <c r="P123" s="504"/>
      <c r="R123" s="504">
        <f t="shared" si="17"/>
        <v>1</v>
      </c>
      <c r="S123" s="504">
        <f t="shared" si="17"/>
        <v>1</v>
      </c>
      <c r="T123" s="504">
        <f t="shared" si="18"/>
        <v>0</v>
      </c>
      <c r="U123" s="504">
        <f t="shared" si="18"/>
        <v>0</v>
      </c>
      <c r="V123" s="504">
        <f t="shared" si="18"/>
        <v>0</v>
      </c>
      <c r="W123" s="504">
        <f t="shared" si="18"/>
        <v>0</v>
      </c>
      <c r="X123" s="504">
        <f t="shared" si="18"/>
        <v>0</v>
      </c>
    </row>
    <row r="124" spans="1:24" s="503" customFormat="1" ht="43.5" outlineLevel="1" x14ac:dyDescent="0.5">
      <c r="A124" s="481"/>
      <c r="B124" s="481"/>
      <c r="C124" s="505" t="s">
        <v>706</v>
      </c>
      <c r="D124" s="506" t="str">
        <f>VLOOKUP(C117,overview_of_services!$B$2:$I$88,7,FALSE)</f>
        <v>Load prediction based sequencing: the sequence is based on e.g. COP and available power of a device and the predicted required power</v>
      </c>
      <c r="E124" s="499" t="s">
        <v>700</v>
      </c>
      <c r="F124" s="499" t="s">
        <v>700</v>
      </c>
      <c r="G124" s="499">
        <v>0</v>
      </c>
      <c r="H124" s="499">
        <v>0</v>
      </c>
      <c r="I124" s="499">
        <v>0</v>
      </c>
      <c r="J124" s="499">
        <v>0</v>
      </c>
      <c r="K124" s="499">
        <v>0</v>
      </c>
      <c r="L124" s="500" t="s">
        <v>708</v>
      </c>
      <c r="M124" s="500" t="s">
        <v>708</v>
      </c>
      <c r="N124" s="501">
        <v>2</v>
      </c>
      <c r="O124" s="502" t="s">
        <v>763</v>
      </c>
      <c r="P124" s="504"/>
      <c r="R124" s="504">
        <f t="shared" si="17"/>
        <v>1</v>
      </c>
      <c r="S124" s="504">
        <f t="shared" si="17"/>
        <v>1</v>
      </c>
      <c r="T124" s="504">
        <f t="shared" si="18"/>
        <v>0</v>
      </c>
      <c r="U124" s="504">
        <f t="shared" si="18"/>
        <v>0</v>
      </c>
      <c r="V124" s="504">
        <f t="shared" si="18"/>
        <v>0</v>
      </c>
      <c r="W124" s="504">
        <f t="shared" si="18"/>
        <v>0</v>
      </c>
      <c r="X124" s="504">
        <f t="shared" si="18"/>
        <v>0</v>
      </c>
    </row>
    <row r="125" spans="1:24" s="503" customFormat="1" ht="35.25" customHeight="1" outlineLevel="1" x14ac:dyDescent="0.5">
      <c r="A125" s="481"/>
      <c r="B125" s="481"/>
      <c r="C125" s="505" t="s">
        <v>710</v>
      </c>
      <c r="D125" s="506">
        <f>VLOOKUP(C117,overview_of_services!$B$2:$I$88,8,FALSE)</f>
        <v>0</v>
      </c>
      <c r="E125" s="507"/>
      <c r="F125" s="499"/>
      <c r="G125" s="507"/>
      <c r="H125" s="507"/>
      <c r="I125" s="499"/>
      <c r="J125" s="499"/>
      <c r="K125" s="499"/>
      <c r="L125" s="500"/>
      <c r="M125" s="500"/>
      <c r="N125" s="501"/>
      <c r="O125" s="502"/>
      <c r="P125" s="504"/>
      <c r="R125" s="504">
        <f t="shared" si="17"/>
        <v>0</v>
      </c>
      <c r="S125" s="504">
        <f t="shared" si="17"/>
        <v>0</v>
      </c>
      <c r="T125" s="504">
        <f t="shared" si="18"/>
        <v>0</v>
      </c>
      <c r="U125" s="504">
        <f t="shared" si="18"/>
        <v>0</v>
      </c>
      <c r="V125" s="504">
        <f t="shared" si="18"/>
        <v>0</v>
      </c>
      <c r="W125" s="504">
        <f t="shared" si="18"/>
        <v>0</v>
      </c>
      <c r="X125" s="504">
        <f t="shared" si="18"/>
        <v>0</v>
      </c>
    </row>
    <row r="126" spans="1:24" s="503" customFormat="1" ht="6" customHeight="1" outlineLevel="2" thickBot="1" x14ac:dyDescent="0.4">
      <c r="A126" s="481"/>
      <c r="B126" s="481"/>
      <c r="C126" s="504"/>
      <c r="D126" s="504"/>
      <c r="E126" s="508"/>
      <c r="F126" s="508"/>
      <c r="G126" s="508"/>
      <c r="H126" s="508"/>
      <c r="I126" s="508"/>
      <c r="J126" s="508"/>
      <c r="K126" s="508"/>
      <c r="L126" s="504"/>
      <c r="M126" s="504"/>
      <c r="N126" s="504"/>
      <c r="O126" s="508"/>
      <c r="P126" s="504"/>
    </row>
    <row r="127" spans="1:24" s="503" customFormat="1" ht="30.75" customHeight="1" outlineLevel="2" thickBot="1" x14ac:dyDescent="0.4">
      <c r="A127" s="481"/>
      <c r="B127" s="481"/>
      <c r="C127" s="509"/>
      <c r="D127" s="509" t="s">
        <v>712</v>
      </c>
      <c r="E127" s="510" t="s">
        <v>729</v>
      </c>
      <c r="F127" s="511" t="s">
        <v>729</v>
      </c>
      <c r="G127" s="511" t="s">
        <v>729</v>
      </c>
      <c r="H127" s="511" t="s">
        <v>729</v>
      </c>
      <c r="I127" s="511" t="s">
        <v>729</v>
      </c>
      <c r="J127" s="511" t="s">
        <v>729</v>
      </c>
      <c r="K127" s="511" t="s">
        <v>729</v>
      </c>
      <c r="L127" s="511" t="s">
        <v>729</v>
      </c>
      <c r="M127" s="511" t="s">
        <v>729</v>
      </c>
      <c r="N127" s="511" t="s">
        <v>729</v>
      </c>
      <c r="O127" s="511" t="s">
        <v>729</v>
      </c>
      <c r="P127" s="504"/>
    </row>
    <row r="128" spans="1:24" s="503" customFormat="1" ht="30.75" customHeight="1" outlineLevel="2" thickBot="1" x14ac:dyDescent="0.4">
      <c r="A128" s="481"/>
      <c r="B128" s="481"/>
      <c r="C128" s="509"/>
      <c r="D128" s="509" t="s">
        <v>714</v>
      </c>
      <c r="E128" s="510" t="s">
        <v>30</v>
      </c>
      <c r="F128" s="512"/>
      <c r="G128" s="511"/>
      <c r="H128" s="511"/>
      <c r="I128" s="511"/>
      <c r="J128" s="511"/>
      <c r="K128" s="511"/>
      <c r="L128" s="510"/>
      <c r="M128" s="510"/>
      <c r="N128" s="513"/>
      <c r="O128" s="510"/>
      <c r="P128" s="504"/>
    </row>
    <row r="129" spans="1:24" ht="20.25" customHeight="1" outlineLevel="1" thickBot="1" x14ac:dyDescent="0.4">
      <c r="C129" s="481"/>
      <c r="D129" s="481"/>
      <c r="E129" s="481"/>
      <c r="F129" s="481"/>
      <c r="G129" s="482"/>
      <c r="H129" s="482"/>
      <c r="I129" s="482"/>
      <c r="J129" s="482"/>
      <c r="K129" s="482"/>
      <c r="L129" s="482"/>
      <c r="M129" s="482"/>
      <c r="N129" s="482"/>
      <c r="O129" s="482"/>
      <c r="P129" s="481"/>
    </row>
    <row r="130" spans="1:24" ht="17.25" customHeight="1" thickBot="1" x14ac:dyDescent="0.4">
      <c r="C130" s="483" t="s">
        <v>677</v>
      </c>
      <c r="D130" s="484" t="s">
        <v>678</v>
      </c>
      <c r="E130" s="481"/>
      <c r="F130" s="481"/>
      <c r="G130" s="482"/>
      <c r="H130" s="482"/>
      <c r="I130" s="482"/>
      <c r="J130" s="482"/>
      <c r="K130" s="482"/>
      <c r="L130" s="482"/>
      <c r="M130" s="482"/>
      <c r="N130" s="482"/>
      <c r="O130" s="482"/>
      <c r="P130" s="481"/>
    </row>
    <row r="131" spans="1:24" s="492" customFormat="1" ht="36.75" customHeight="1" thickBot="1" x14ac:dyDescent="0.7">
      <c r="A131" s="481"/>
      <c r="B131" s="486" t="s">
        <v>679</v>
      </c>
      <c r="C131" s="487" t="s">
        <v>220</v>
      </c>
      <c r="D131" s="514" t="str">
        <f>VLOOKUP(C131,overview_of_services!$B$2:$I$88,3,FALSE)</f>
        <v>Report information regarding cooling system performance</v>
      </c>
      <c r="E131" s="489"/>
      <c r="F131" s="490" t="s">
        <v>680</v>
      </c>
      <c r="G131" s="578" t="str">
        <f>VLOOKUP(C131,overview_of_services!$B$2:$I$88,2,FALSE)</f>
        <v>Information to occupants and facility managers</v>
      </c>
      <c r="H131" s="578"/>
      <c r="I131" s="490"/>
      <c r="J131" s="491"/>
      <c r="K131" s="491"/>
      <c r="L131" s="491"/>
      <c r="M131" s="491"/>
      <c r="N131" s="491"/>
      <c r="O131" s="491"/>
      <c r="R131" s="492" t="s">
        <v>681</v>
      </c>
      <c r="S131" s="492">
        <f>ROW()</f>
        <v>131</v>
      </c>
    </row>
    <row r="132" spans="1:24" ht="5.25" customHeight="1" x14ac:dyDescent="0.35">
      <c r="C132" s="493"/>
      <c r="D132" s="493"/>
      <c r="E132" s="493"/>
      <c r="F132" s="493"/>
      <c r="G132" s="493"/>
      <c r="H132" s="493"/>
      <c r="I132" s="493"/>
      <c r="J132" s="493"/>
      <c r="K132" s="493"/>
      <c r="L132" s="493"/>
      <c r="M132" s="493"/>
      <c r="N132" s="493"/>
      <c r="O132" s="494"/>
      <c r="P132" s="481"/>
    </row>
    <row r="133" spans="1:24" ht="20.25" customHeight="1" outlineLevel="1" x14ac:dyDescent="0.35">
      <c r="C133" s="575" t="s">
        <v>682</v>
      </c>
      <c r="D133" s="575"/>
      <c r="E133" s="577" t="s">
        <v>683</v>
      </c>
      <c r="F133" s="577"/>
      <c r="G133" s="577"/>
      <c r="H133" s="577"/>
      <c r="I133" s="577"/>
      <c r="J133" s="577"/>
      <c r="K133" s="577"/>
      <c r="L133" s="573" t="s">
        <v>684</v>
      </c>
      <c r="M133" s="574"/>
      <c r="N133" s="569" t="s">
        <v>685</v>
      </c>
      <c r="O133" s="571" t="s">
        <v>686</v>
      </c>
      <c r="P133" s="481"/>
    </row>
    <row r="134" spans="1:24" ht="36.75" customHeight="1" outlineLevel="1" thickBot="1" x14ac:dyDescent="0.4">
      <c r="C134" s="576"/>
      <c r="D134" s="576"/>
      <c r="E134" s="495" t="s">
        <v>687</v>
      </c>
      <c r="F134" s="495" t="s">
        <v>688</v>
      </c>
      <c r="G134" s="495" t="s">
        <v>689</v>
      </c>
      <c r="H134" s="495" t="s">
        <v>690</v>
      </c>
      <c r="I134" s="495" t="s">
        <v>616</v>
      </c>
      <c r="J134" s="495" t="s">
        <v>691</v>
      </c>
      <c r="K134" s="495" t="s">
        <v>692</v>
      </c>
      <c r="L134" s="496" t="s">
        <v>693</v>
      </c>
      <c r="M134" s="496" t="s">
        <v>694</v>
      </c>
      <c r="N134" s="570"/>
      <c r="O134" s="572"/>
      <c r="P134" s="481"/>
    </row>
    <row r="135" spans="1:24" s="503" customFormat="1" ht="35.25" customHeight="1" outlineLevel="1" thickTop="1" x14ac:dyDescent="0.5">
      <c r="A135" s="481"/>
      <c r="B135" s="481"/>
      <c r="C135" s="497" t="s">
        <v>695</v>
      </c>
      <c r="D135" s="498" t="str">
        <f>VLOOKUP(C131,overview_of_services!$B$2:$I$88,4,FALSE)</f>
        <v>None</v>
      </c>
      <c r="E135" s="499">
        <v>0</v>
      </c>
      <c r="F135" s="499">
        <v>0</v>
      </c>
      <c r="G135" s="499">
        <v>0</v>
      </c>
      <c r="H135" s="499">
        <v>0</v>
      </c>
      <c r="I135" s="499">
        <v>0</v>
      </c>
      <c r="J135" s="499">
        <v>0</v>
      </c>
      <c r="K135" s="499">
        <v>0</v>
      </c>
      <c r="L135" s="500" t="s">
        <v>696</v>
      </c>
      <c r="M135" s="500" t="s">
        <v>696</v>
      </c>
      <c r="N135" s="501">
        <v>0</v>
      </c>
      <c r="O135" s="502" t="s">
        <v>721</v>
      </c>
      <c r="P135" s="504"/>
      <c r="R135" s="504">
        <f>IF(E135=0,0,(IF(E135="+",1,(IF(E135="++",2,(IF(E135="+++",3,(IF(E135="++++",4,(IF(E135="-",-1,(IF(E135="--",-2,(IF(E135="---",-3,(IF(E135="----",-4,"NA")))))))))))))))))</f>
        <v>0</v>
      </c>
      <c r="S135" s="504">
        <f>IF(F135=0,0,(IF(F135="+",1,(IF(F135="++",2,(IF(F135="+++",3,(IF(F135="++++",4,(IF(F135="-",-1,(IF(F135="--",-2,(IF(F135="---",-3,(IF(F135="----",-4,"NA")))))))))))))))))</f>
        <v>0</v>
      </c>
      <c r="T135" s="504">
        <f t="shared" ref="T135:X139" si="19">IF(G135=0,0,(IF(G135="+",1,(IF(G135="++",2,(IF(G135="+++",3,(IF(G135="++++",4,(IF(G135="-",-1,(IF(G135="--",-2,(IF(G135="---",-3,(IF(G135="----",-4,"NA")))))))))))))))))</f>
        <v>0</v>
      </c>
      <c r="U135" s="504">
        <f t="shared" si="19"/>
        <v>0</v>
      </c>
      <c r="V135" s="504">
        <f t="shared" si="19"/>
        <v>0</v>
      </c>
      <c r="W135" s="504">
        <f t="shared" si="19"/>
        <v>0</v>
      </c>
      <c r="X135" s="504">
        <f t="shared" si="19"/>
        <v>0</v>
      </c>
    </row>
    <row r="136" spans="1:24" s="503" customFormat="1" ht="35.25" customHeight="1" outlineLevel="1" x14ac:dyDescent="0.5">
      <c r="A136" s="481"/>
      <c r="B136" s="481"/>
      <c r="C136" s="505" t="s">
        <v>699</v>
      </c>
      <c r="D136" s="506" t="str">
        <f>VLOOKUP(C131,overview_of_services!$B$2:$I$88,5,FALSE)</f>
        <v>Indication of actual values (e.g. temperatures, submetering energy usage)</v>
      </c>
      <c r="E136" s="507" t="s">
        <v>700</v>
      </c>
      <c r="F136" s="499">
        <v>0</v>
      </c>
      <c r="G136" s="499">
        <v>0</v>
      </c>
      <c r="H136" s="499">
        <v>0</v>
      </c>
      <c r="I136" s="499">
        <v>0</v>
      </c>
      <c r="J136" s="507" t="s">
        <v>700</v>
      </c>
      <c r="K136" s="507" t="s">
        <v>700</v>
      </c>
      <c r="L136" s="500" t="s">
        <v>718</v>
      </c>
      <c r="M136" s="500" t="s">
        <v>718</v>
      </c>
      <c r="N136" s="501">
        <v>2</v>
      </c>
      <c r="O136" s="502" t="s">
        <v>721</v>
      </c>
      <c r="P136" s="504"/>
      <c r="R136" s="504">
        <f t="shared" ref="R136:R139" si="20">IF(E136=0,0,(IF(E136="+",1,(IF(E136="++",2,(IF(E136="+++",3,(IF(E136="++++",4,(IF(E136="-",-1,(IF(E136="--",-2,(IF(E136="---",-3,(IF(E136="----",-4,"NA")))))))))))))))))</f>
        <v>1</v>
      </c>
      <c r="S136" s="504">
        <f>IF(F136=0,0,(IF(F136="+",1,(IF(F136="++",2,(IF(F136="+++",3,(IF(F136="++++",4,(IF(F136="-",-1,(IF(F136="--",-2,(IF(F136="---",-3,(IF(F136="----",-4,"NA")))))))))))))))))</f>
        <v>0</v>
      </c>
      <c r="T136" s="504">
        <f t="shared" si="19"/>
        <v>0</v>
      </c>
      <c r="U136" s="504">
        <f t="shared" si="19"/>
        <v>0</v>
      </c>
      <c r="V136" s="504">
        <f t="shared" si="19"/>
        <v>0</v>
      </c>
      <c r="W136" s="504">
        <f t="shared" si="19"/>
        <v>1</v>
      </c>
      <c r="X136" s="504">
        <f t="shared" si="19"/>
        <v>1</v>
      </c>
    </row>
    <row r="137" spans="1:24" s="503" customFormat="1" ht="35.25" customHeight="1" outlineLevel="1" x14ac:dyDescent="0.5">
      <c r="A137" s="481"/>
      <c r="B137" s="481"/>
      <c r="C137" s="505" t="s">
        <v>703</v>
      </c>
      <c r="D137" s="506" t="str">
        <f>VLOOKUP(C131,overview_of_services!$B$2:$I$88,6,FALSE)</f>
        <v>Actual values and historical data</v>
      </c>
      <c r="E137" s="499" t="s">
        <v>700</v>
      </c>
      <c r="F137" s="499">
        <v>0</v>
      </c>
      <c r="G137" s="499">
        <v>0</v>
      </c>
      <c r="H137" s="499">
        <v>0</v>
      </c>
      <c r="I137" s="499">
        <v>0</v>
      </c>
      <c r="J137" s="507" t="s">
        <v>700</v>
      </c>
      <c r="K137" s="507" t="s">
        <v>704</v>
      </c>
      <c r="L137" s="500" t="s">
        <v>708</v>
      </c>
      <c r="M137" s="500" t="s">
        <v>708</v>
      </c>
      <c r="N137" s="501">
        <v>3</v>
      </c>
      <c r="O137" s="502" t="s">
        <v>721</v>
      </c>
      <c r="P137" s="504"/>
      <c r="R137" s="504">
        <f t="shared" si="20"/>
        <v>1</v>
      </c>
      <c r="S137" s="504">
        <f>IF(F137=0,0,(IF(F137="+",1,(IF(F137="++",2,(IF(F137="+++",3,(IF(F137="++++",4,(IF(F137="-",-1,(IF(F137="--",-2,(IF(F137="---",-3,(IF(F137="----",-4,"NA")))))))))))))))))</f>
        <v>0</v>
      </c>
      <c r="T137" s="504">
        <f t="shared" si="19"/>
        <v>0</v>
      </c>
      <c r="U137" s="504">
        <f t="shared" si="19"/>
        <v>0</v>
      </c>
      <c r="V137" s="504">
        <f t="shared" si="19"/>
        <v>0</v>
      </c>
      <c r="W137" s="504">
        <f t="shared" si="19"/>
        <v>1</v>
      </c>
      <c r="X137" s="504">
        <f t="shared" si="19"/>
        <v>2</v>
      </c>
    </row>
    <row r="138" spans="1:24" s="503" customFormat="1" ht="35.25" customHeight="1" outlineLevel="1" x14ac:dyDescent="0.5">
      <c r="A138" s="481"/>
      <c r="B138" s="481"/>
      <c r="C138" s="505" t="s">
        <v>706</v>
      </c>
      <c r="D138" s="506" t="str">
        <f>VLOOKUP(C131,overview_of_services!$B$2:$I$88,7,FALSE)</f>
        <v>Performance evaluation including forecasting and/or benchmarking</v>
      </c>
      <c r="E138" s="507" t="s">
        <v>700</v>
      </c>
      <c r="F138" s="499">
        <v>0</v>
      </c>
      <c r="G138" s="499">
        <v>0</v>
      </c>
      <c r="H138" s="499">
        <v>0</v>
      </c>
      <c r="I138" s="499">
        <v>0</v>
      </c>
      <c r="J138" s="507" t="s">
        <v>700</v>
      </c>
      <c r="K138" s="507" t="s">
        <v>707</v>
      </c>
      <c r="L138" s="500" t="s">
        <v>708</v>
      </c>
      <c r="M138" s="500" t="s">
        <v>708</v>
      </c>
      <c r="N138" s="501">
        <v>5</v>
      </c>
      <c r="O138" s="502" t="s">
        <v>721</v>
      </c>
      <c r="P138" s="504"/>
      <c r="R138" s="504">
        <f t="shared" si="20"/>
        <v>1</v>
      </c>
      <c r="S138" s="504">
        <f>IF(F138=0,0,(IF(F138="+",1,(IF(F138="++",2,(IF(F138="+++",3,(IF(F138="++++",4,(IF(F138="-",-1,(IF(F138="--",-2,(IF(F138="---",-3,(IF(F138="----",-4,"NA")))))))))))))))))</f>
        <v>0</v>
      </c>
      <c r="T138" s="504">
        <f t="shared" si="19"/>
        <v>0</v>
      </c>
      <c r="U138" s="504">
        <f t="shared" si="19"/>
        <v>0</v>
      </c>
      <c r="V138" s="504">
        <f t="shared" si="19"/>
        <v>0</v>
      </c>
      <c r="W138" s="504">
        <f t="shared" si="19"/>
        <v>1</v>
      </c>
      <c r="X138" s="504">
        <f t="shared" si="19"/>
        <v>3</v>
      </c>
    </row>
    <row r="139" spans="1:24" s="503" customFormat="1" ht="35.25" customHeight="1" outlineLevel="1" x14ac:dyDescent="0.5">
      <c r="A139" s="481"/>
      <c r="B139" s="481"/>
      <c r="C139" s="505" t="s">
        <v>710</v>
      </c>
      <c r="D139" s="506" t="str">
        <f>VLOOKUP(C131,overview_of_services!$B$2:$I$88,8,FALSE)</f>
        <v>Performance evaluation including forecasting and/or benchmarking; also including predictive management and fault detection</v>
      </c>
      <c r="E139" s="507" t="s">
        <v>700</v>
      </c>
      <c r="F139" s="499">
        <v>0</v>
      </c>
      <c r="G139" s="499">
        <v>0</v>
      </c>
      <c r="H139" s="499" t="s">
        <v>700</v>
      </c>
      <c r="I139" s="499">
        <v>0</v>
      </c>
      <c r="J139" s="507" t="s">
        <v>704</v>
      </c>
      <c r="K139" s="507" t="s">
        <v>707</v>
      </c>
      <c r="L139" s="500" t="s">
        <v>708</v>
      </c>
      <c r="M139" s="500" t="s">
        <v>708</v>
      </c>
      <c r="N139" s="501">
        <v>7</v>
      </c>
      <c r="O139" s="502" t="s">
        <v>721</v>
      </c>
      <c r="P139" s="504"/>
      <c r="R139" s="504">
        <f t="shared" si="20"/>
        <v>1</v>
      </c>
      <c r="S139" s="504">
        <f>IF(F139=0,0,(IF(F139="+",1,(IF(F139="++",2,(IF(F139="+++",3,(IF(F139="++++",4,(IF(F139="-",-1,(IF(F139="--",-2,(IF(F139="---",-3,(IF(F139="----",-4,"NA")))))))))))))))))</f>
        <v>0</v>
      </c>
      <c r="T139" s="504">
        <f t="shared" si="19"/>
        <v>0</v>
      </c>
      <c r="U139" s="504">
        <f t="shared" si="19"/>
        <v>1</v>
      </c>
      <c r="V139" s="504">
        <f t="shared" si="19"/>
        <v>0</v>
      </c>
      <c r="W139" s="504">
        <f t="shared" si="19"/>
        <v>2</v>
      </c>
      <c r="X139" s="504">
        <f t="shared" si="19"/>
        <v>3</v>
      </c>
    </row>
    <row r="140" spans="1:24" s="503" customFormat="1" ht="6" customHeight="1" outlineLevel="2" thickBot="1" x14ac:dyDescent="0.4">
      <c r="A140" s="481"/>
      <c r="B140" s="481"/>
      <c r="C140" s="504"/>
      <c r="D140" s="504"/>
      <c r="E140" s="508"/>
      <c r="F140" s="508"/>
      <c r="G140" s="508"/>
      <c r="H140" s="508"/>
      <c r="I140" s="508"/>
      <c r="J140" s="508"/>
      <c r="K140" s="508"/>
      <c r="L140" s="504"/>
      <c r="M140" s="504"/>
      <c r="N140" s="504"/>
      <c r="O140" s="508"/>
      <c r="P140" s="504"/>
    </row>
    <row r="141" spans="1:24" s="503" customFormat="1" ht="30.75" customHeight="1" outlineLevel="2" thickBot="1" x14ac:dyDescent="0.4">
      <c r="A141" s="481"/>
      <c r="B141" s="481"/>
      <c r="C141" s="509"/>
      <c r="D141" s="509" t="s">
        <v>712</v>
      </c>
      <c r="E141" s="510" t="s">
        <v>729</v>
      </c>
      <c r="F141" s="511" t="s">
        <v>729</v>
      </c>
      <c r="G141" s="511" t="s">
        <v>729</v>
      </c>
      <c r="H141" s="511" t="s">
        <v>729</v>
      </c>
      <c r="I141" s="511" t="s">
        <v>729</v>
      </c>
      <c r="J141" s="511" t="s">
        <v>729</v>
      </c>
      <c r="K141" s="511" t="s">
        <v>729</v>
      </c>
      <c r="L141" s="511" t="s">
        <v>729</v>
      </c>
      <c r="M141" s="511" t="s">
        <v>729</v>
      </c>
      <c r="N141" s="511" t="s">
        <v>729</v>
      </c>
      <c r="O141" s="511" t="s">
        <v>729</v>
      </c>
      <c r="P141" s="504"/>
    </row>
    <row r="142" spans="1:24" s="503" customFormat="1" ht="30.75" customHeight="1" outlineLevel="2" thickBot="1" x14ac:dyDescent="0.4">
      <c r="A142" s="481"/>
      <c r="B142" s="481"/>
      <c r="C142" s="509"/>
      <c r="D142" s="509" t="s">
        <v>714</v>
      </c>
      <c r="E142" s="510"/>
      <c r="F142" s="512"/>
      <c r="G142" s="511"/>
      <c r="H142" s="511"/>
      <c r="I142" s="511"/>
      <c r="J142" s="511"/>
      <c r="K142" s="511"/>
      <c r="L142" s="510"/>
      <c r="M142" s="510"/>
      <c r="N142" s="513"/>
      <c r="O142" s="510"/>
      <c r="P142" s="504"/>
    </row>
    <row r="143" spans="1:24" ht="15" thickBot="1" x14ac:dyDescent="0.4">
      <c r="C143" s="481"/>
      <c r="D143" s="481"/>
      <c r="E143" s="481"/>
      <c r="F143" s="481"/>
      <c r="G143" s="482"/>
      <c r="H143" s="482"/>
      <c r="I143" s="482"/>
      <c r="J143" s="482"/>
      <c r="K143" s="482"/>
      <c r="L143" s="482"/>
      <c r="M143" s="482"/>
      <c r="N143" s="482"/>
      <c r="O143" s="482"/>
    </row>
    <row r="144" spans="1:24" ht="15" thickBot="1" x14ac:dyDescent="0.4">
      <c r="C144" s="483" t="s">
        <v>677</v>
      </c>
      <c r="D144" s="484" t="s">
        <v>678</v>
      </c>
      <c r="E144" s="481"/>
      <c r="F144" s="481"/>
      <c r="G144" s="482"/>
      <c r="H144" s="482"/>
      <c r="I144" s="482"/>
      <c r="J144" s="482"/>
      <c r="K144" s="482"/>
      <c r="L144" s="482"/>
      <c r="M144" s="482"/>
      <c r="N144" s="482"/>
      <c r="O144" s="482"/>
    </row>
    <row r="145" spans="3:24" ht="16" thickBot="1" x14ac:dyDescent="0.4">
      <c r="C145" s="487" t="s">
        <v>222</v>
      </c>
      <c r="D145" s="514" t="str">
        <f>VLOOKUP(C145,overview_of_services!$B$2:$I$88,3,FALSE)</f>
        <v>DSM control of equipment</v>
      </c>
      <c r="E145" s="489"/>
      <c r="F145" s="490" t="s">
        <v>680</v>
      </c>
      <c r="G145" s="578" t="str">
        <f>VLOOKUP(C145,overview_of_services!$B$2:$I$88,2,FALSE)</f>
        <v>DSM control of equipment</v>
      </c>
      <c r="H145" s="578"/>
      <c r="I145" s="490"/>
      <c r="J145" s="491"/>
      <c r="K145" s="491"/>
      <c r="L145" s="491"/>
      <c r="M145" s="491"/>
      <c r="N145" s="491"/>
      <c r="O145" s="491"/>
      <c r="P145" s="491"/>
      <c r="Q145" s="491"/>
      <c r="R145" s="492" t="s">
        <v>681</v>
      </c>
      <c r="S145" s="492">
        <f>ROW()</f>
        <v>145</v>
      </c>
      <c r="T145" s="492"/>
      <c r="U145" s="492"/>
      <c r="V145" s="492"/>
      <c r="W145" s="492"/>
      <c r="X145" s="492"/>
    </row>
    <row r="146" spans="3:24" x14ac:dyDescent="0.35">
      <c r="C146" s="493"/>
      <c r="D146" s="493"/>
      <c r="E146" s="493"/>
      <c r="F146" s="493"/>
      <c r="G146" s="493"/>
      <c r="H146" s="493"/>
      <c r="I146" s="493"/>
      <c r="J146" s="493"/>
      <c r="K146" s="493"/>
      <c r="L146" s="493"/>
      <c r="M146" s="493"/>
      <c r="N146" s="493"/>
      <c r="O146" s="494"/>
    </row>
    <row r="147" spans="3:24" x14ac:dyDescent="0.35">
      <c r="C147" s="575" t="s">
        <v>682</v>
      </c>
      <c r="D147" s="575"/>
      <c r="E147" s="577" t="s">
        <v>683</v>
      </c>
      <c r="F147" s="577"/>
      <c r="G147" s="577"/>
      <c r="H147" s="577"/>
      <c r="I147" s="577"/>
      <c r="J147" s="577"/>
      <c r="K147" s="577"/>
      <c r="L147" s="573" t="s">
        <v>684</v>
      </c>
      <c r="M147" s="574"/>
      <c r="N147" s="569" t="s">
        <v>685</v>
      </c>
      <c r="O147" s="571" t="s">
        <v>686</v>
      </c>
    </row>
    <row r="148" spans="3:24" ht="29.5" thickBot="1" x14ac:dyDescent="0.4">
      <c r="C148" s="576"/>
      <c r="D148" s="576"/>
      <c r="E148" s="495" t="s">
        <v>687</v>
      </c>
      <c r="F148" s="495" t="s">
        <v>688</v>
      </c>
      <c r="G148" s="495" t="s">
        <v>689</v>
      </c>
      <c r="H148" s="495" t="s">
        <v>690</v>
      </c>
      <c r="I148" s="495" t="s">
        <v>616</v>
      </c>
      <c r="J148" s="495" t="s">
        <v>691</v>
      </c>
      <c r="K148" s="495" t="s">
        <v>692</v>
      </c>
      <c r="L148" s="496" t="s">
        <v>693</v>
      </c>
      <c r="M148" s="496" t="s">
        <v>694</v>
      </c>
      <c r="N148" s="570"/>
      <c r="O148" s="572"/>
    </row>
    <row r="149" spans="3:24" ht="21.5" thickTop="1" x14ac:dyDescent="0.5">
      <c r="C149" s="497" t="s">
        <v>695</v>
      </c>
      <c r="D149" s="498" t="str">
        <f>VLOOKUP(C145,overview_of_services!$B$2:$I$88,4,FALSE)</f>
        <v>Not present</v>
      </c>
      <c r="E149" s="499">
        <v>0</v>
      </c>
      <c r="F149" s="499">
        <v>0</v>
      </c>
      <c r="G149" s="499">
        <v>0</v>
      </c>
      <c r="H149" s="499">
        <v>0</v>
      </c>
      <c r="I149" s="499">
        <v>0</v>
      </c>
      <c r="J149" s="499">
        <v>0</v>
      </c>
      <c r="K149" s="499">
        <v>0</v>
      </c>
      <c r="L149" s="500" t="s">
        <v>696</v>
      </c>
      <c r="M149" s="500" t="s">
        <v>696</v>
      </c>
      <c r="N149" s="501">
        <v>0</v>
      </c>
      <c r="O149" s="502" t="s">
        <v>721</v>
      </c>
      <c r="R149" s="504">
        <f>IF(E149=0,0,(IF(E149="+",1,(IF(E149="++",2,(IF(E149="+++",3,(IF(E149="++++",4,(IF(E149="-",-1,(IF(E149="--",-2,(IF(E149="---",-3,(IF(E149="----",-4,"NA")))))))))))))))))</f>
        <v>0</v>
      </c>
      <c r="S149" s="504">
        <f>IF(F149=0,0,(IF(F149="+",1,(IF(F149="++",2,(IF(F149="+++",3,(IF(F149="++++",4,(IF(F149="-",-1,(IF(F149="--",-2,(IF(F149="---",-3,(IF(F149="----",-4,"NA")))))))))))))))))</f>
        <v>0</v>
      </c>
      <c r="T149" s="504">
        <f t="shared" ref="T149:T153" si="21">IF(G149=0,0,(IF(G149="+",1,(IF(G149="++",2,(IF(G149="+++",3,(IF(G149="++++",4,(IF(G149="-",-1,(IF(G149="--",-2,(IF(G149="---",-3,(IF(G149="----",-4,"NA")))))))))))))))))</f>
        <v>0</v>
      </c>
      <c r="U149" s="504">
        <f t="shared" ref="U149:U153" si="22">IF(H149=0,0,(IF(H149="+",1,(IF(H149="++",2,(IF(H149="+++",3,(IF(H149="++++",4,(IF(H149="-",-1,(IF(H149="--",-2,(IF(H149="---",-3,(IF(H149="----",-4,"NA")))))))))))))))))</f>
        <v>0</v>
      </c>
      <c r="V149" s="504">
        <f t="shared" ref="V149:V153" si="23">IF(I149=0,0,(IF(I149="+",1,(IF(I149="++",2,(IF(I149="+++",3,(IF(I149="++++",4,(IF(I149="-",-1,(IF(I149="--",-2,(IF(I149="---",-3,(IF(I149="----",-4,"NA")))))))))))))))))</f>
        <v>0</v>
      </c>
      <c r="W149" s="504">
        <f t="shared" ref="W149:W153" si="24">IF(J149=0,0,(IF(J149="+",1,(IF(J149="++",2,(IF(J149="+++",3,(IF(J149="++++",4,(IF(J149="-",-1,(IF(J149="--",-2,(IF(J149="---",-3,(IF(J149="----",-4,"NA")))))))))))))))))</f>
        <v>0</v>
      </c>
      <c r="X149" s="504">
        <f t="shared" ref="X149:X153" si="25">IF(K149=0,0,(IF(K149="+",1,(IF(K149="++",2,(IF(K149="+++",3,(IF(K149="++++",4,(IF(K149="-",-1,(IF(K149="--",-2,(IF(K149="---",-3,(IF(K149="----",-4,"NA")))))))))))))))))</f>
        <v>0</v>
      </c>
    </row>
    <row r="150" spans="3:24" ht="21" x14ac:dyDescent="0.5">
      <c r="C150" s="505" t="s">
        <v>699</v>
      </c>
      <c r="D150" s="506" t="str">
        <f>VLOOKUP(C145,overview_of_services!$B$2:$I$88,5,FALSE)</f>
        <v>Cooling subject to Demand Side Management</v>
      </c>
      <c r="E150" s="499">
        <v>0</v>
      </c>
      <c r="F150" s="507" t="s">
        <v>704</v>
      </c>
      <c r="G150" s="499">
        <v>0</v>
      </c>
      <c r="H150" s="499">
        <v>0</v>
      </c>
      <c r="I150" s="499">
        <v>0</v>
      </c>
      <c r="J150" s="499">
        <v>0</v>
      </c>
      <c r="K150" s="499">
        <v>0</v>
      </c>
      <c r="L150" s="500" t="s">
        <v>708</v>
      </c>
      <c r="M150" s="500" t="s">
        <v>708</v>
      </c>
      <c r="N150" s="501">
        <v>2</v>
      </c>
      <c r="O150" s="502" t="s">
        <v>721</v>
      </c>
      <c r="R150" s="504">
        <f t="shared" ref="R150:R153" si="26">IF(E150=0,0,(IF(E150="+",1,(IF(E150="++",2,(IF(E150="+++",3,(IF(E150="++++",4,(IF(E150="-",-1,(IF(E150="--",-2,(IF(E150="---",-3,(IF(E150="----",-4,"NA")))))))))))))))))</f>
        <v>0</v>
      </c>
      <c r="S150" s="504">
        <f>IF(F150=0,0,(IF(F150="+",1,(IF(F150="++",2,(IF(F150="+++",3,(IF(F150="++++",4,(IF(F150="-",-1,(IF(F150="--",-2,(IF(F150="---",-3,(IF(F150="----",-4,"NA")))))))))))))))))</f>
        <v>2</v>
      </c>
      <c r="T150" s="504">
        <f t="shared" si="21"/>
        <v>0</v>
      </c>
      <c r="U150" s="504">
        <f t="shared" si="22"/>
        <v>0</v>
      </c>
      <c r="V150" s="504">
        <f t="shared" si="23"/>
        <v>0</v>
      </c>
      <c r="W150" s="504">
        <f t="shared" si="24"/>
        <v>0</v>
      </c>
      <c r="X150" s="504">
        <f t="shared" si="25"/>
        <v>0</v>
      </c>
    </row>
    <row r="151" spans="3:24" ht="21" x14ac:dyDescent="0.5">
      <c r="C151" s="505" t="s">
        <v>703</v>
      </c>
      <c r="D151" s="522">
        <f>VLOOKUP(C145,overview_of_services!$B$2:$I$88,6,FALSE)</f>
        <v>0</v>
      </c>
      <c r="E151" s="507"/>
      <c r="F151" s="499"/>
      <c r="G151" s="499"/>
      <c r="H151" s="499"/>
      <c r="I151" s="499"/>
      <c r="J151" s="499"/>
      <c r="K151" s="499"/>
      <c r="L151" s="500"/>
      <c r="M151" s="500"/>
      <c r="N151" s="501"/>
      <c r="O151" s="502" t="s">
        <v>721</v>
      </c>
      <c r="R151" s="504">
        <f t="shared" si="26"/>
        <v>0</v>
      </c>
      <c r="S151" s="504">
        <f>IF(F151=0,0,(IF(F151="+",1,(IF(F151="++",2,(IF(F151="+++",3,(IF(F151="++++",4,(IF(F151="-",-1,(IF(F151="--",-2,(IF(F151="---",-3,(IF(F151="----",-4,"NA")))))))))))))))))</f>
        <v>0</v>
      </c>
      <c r="T151" s="504">
        <f t="shared" si="21"/>
        <v>0</v>
      </c>
      <c r="U151" s="504">
        <f t="shared" si="22"/>
        <v>0</v>
      </c>
      <c r="V151" s="504">
        <f t="shared" si="23"/>
        <v>0</v>
      </c>
      <c r="W151" s="504">
        <f t="shared" si="24"/>
        <v>0</v>
      </c>
      <c r="X151" s="504">
        <f t="shared" si="25"/>
        <v>0</v>
      </c>
    </row>
    <row r="152" spans="3:24" ht="21" x14ac:dyDescent="0.5">
      <c r="C152" s="505" t="s">
        <v>706</v>
      </c>
      <c r="D152" s="522">
        <f>VLOOKUP(C145,overview_of_services!$B$2:$I$88,7,FALSE)</f>
        <v>0</v>
      </c>
      <c r="E152" s="507"/>
      <c r="F152" s="507"/>
      <c r="G152" s="499"/>
      <c r="H152" s="499"/>
      <c r="I152" s="499"/>
      <c r="J152" s="499"/>
      <c r="K152" s="499"/>
      <c r="L152" s="500"/>
      <c r="M152" s="500"/>
      <c r="N152" s="501"/>
      <c r="O152" s="502" t="s">
        <v>721</v>
      </c>
      <c r="R152" s="504">
        <f t="shared" si="26"/>
        <v>0</v>
      </c>
      <c r="S152" s="504">
        <f>IF(F152=0,0,(IF(F152="+",1,(IF(F152="++",2,(IF(F152="+++",3,(IF(F152="++++",4,(IF(F152="-",-1,(IF(F152="--",-2,(IF(F152="---",-3,(IF(F152="----",-4,"NA")))))))))))))))))</f>
        <v>0</v>
      </c>
      <c r="T152" s="504">
        <f t="shared" si="21"/>
        <v>0</v>
      </c>
      <c r="U152" s="504">
        <f t="shared" si="22"/>
        <v>0</v>
      </c>
      <c r="V152" s="504">
        <f t="shared" si="23"/>
        <v>0</v>
      </c>
      <c r="W152" s="504">
        <f t="shared" si="24"/>
        <v>0</v>
      </c>
      <c r="X152" s="504">
        <f t="shared" si="25"/>
        <v>0</v>
      </c>
    </row>
    <row r="153" spans="3:24" ht="21" x14ac:dyDescent="0.5">
      <c r="C153" s="505" t="s">
        <v>710</v>
      </c>
      <c r="D153" s="506">
        <f>VLOOKUP(C145,overview_of_services!$B$2:$I$88,8,FALSE)</f>
        <v>0</v>
      </c>
      <c r="E153" s="507"/>
      <c r="F153" s="499"/>
      <c r="G153" s="507"/>
      <c r="H153" s="507"/>
      <c r="I153" s="499"/>
      <c r="J153" s="499"/>
      <c r="K153" s="499"/>
      <c r="L153" s="500"/>
      <c r="M153" s="500"/>
      <c r="N153" s="501"/>
      <c r="O153" s="502"/>
      <c r="R153" s="504">
        <f t="shared" si="26"/>
        <v>0</v>
      </c>
      <c r="S153" s="504">
        <f>IF(F153=0,0,(IF(F153="+",1,(IF(F153="++",2,(IF(F153="+++",3,(IF(F153="++++",4,(IF(F153="-",-1,(IF(F153="--",-2,(IF(F153="---",-3,(IF(F153="----",-4,"NA")))))))))))))))))</f>
        <v>0</v>
      </c>
      <c r="T153" s="504">
        <f t="shared" si="21"/>
        <v>0</v>
      </c>
      <c r="U153" s="504">
        <f t="shared" si="22"/>
        <v>0</v>
      </c>
      <c r="V153" s="504">
        <f t="shared" si="23"/>
        <v>0</v>
      </c>
      <c r="W153" s="504">
        <f t="shared" si="24"/>
        <v>0</v>
      </c>
      <c r="X153" s="504">
        <f t="shared" si="25"/>
        <v>0</v>
      </c>
    </row>
    <row r="154" spans="3:24" ht="15" thickBot="1" x14ac:dyDescent="0.4">
      <c r="C154" s="504"/>
      <c r="D154" s="504"/>
      <c r="E154" s="508"/>
      <c r="F154" s="508"/>
      <c r="G154" s="508"/>
      <c r="H154" s="508"/>
      <c r="I154" s="508"/>
      <c r="J154" s="508"/>
      <c r="K154" s="508"/>
      <c r="L154" s="504"/>
      <c r="M154" s="504"/>
      <c r="N154" s="504"/>
      <c r="O154" s="508"/>
    </row>
    <row r="155" spans="3:24" ht="15" thickBot="1" x14ac:dyDescent="0.4">
      <c r="C155" s="509"/>
      <c r="D155" s="509" t="s">
        <v>712</v>
      </c>
      <c r="E155" s="510" t="s">
        <v>713</v>
      </c>
      <c r="F155" s="511" t="s">
        <v>713</v>
      </c>
      <c r="G155" s="511" t="s">
        <v>713</v>
      </c>
      <c r="H155" s="511" t="s">
        <v>713</v>
      </c>
      <c r="I155" s="511" t="s">
        <v>713</v>
      </c>
      <c r="J155" s="511" t="s">
        <v>713</v>
      </c>
      <c r="K155" s="511" t="s">
        <v>713</v>
      </c>
      <c r="L155" s="511"/>
      <c r="M155" s="511"/>
      <c r="N155" s="511" t="s">
        <v>713</v>
      </c>
      <c r="O155" s="511" t="s">
        <v>713</v>
      </c>
    </row>
    <row r="156" spans="3:24" ht="15" thickBot="1" x14ac:dyDescent="0.4">
      <c r="C156" s="509"/>
      <c r="D156" s="509" t="s">
        <v>714</v>
      </c>
      <c r="E156" s="510"/>
      <c r="F156" s="512"/>
      <c r="G156" s="511"/>
      <c r="H156" s="511"/>
      <c r="I156" s="511"/>
      <c r="J156" s="511"/>
      <c r="K156" s="511"/>
      <c r="L156" s="510"/>
      <c r="M156" s="510"/>
      <c r="N156" s="513"/>
      <c r="O156" s="516"/>
    </row>
  </sheetData>
  <sheetProtection algorithmName="SHA-512" hashValue="bsCWUI57M0v+6To9YN5Vf1L6xIvG2jEC4ZQgwz0u7mTX0CZUDw6n2+6naSqAlghFFd8WZBKwgHUAoASvZjpZsA==" saltValue="/0+tVh5Y/u09L7F2RBEY+w==" spinCount="100000" sheet="1" objects="1" scenarios="1"/>
  <mergeCells count="66">
    <mergeCell ref="N133:N134"/>
    <mergeCell ref="O133:O134"/>
    <mergeCell ref="G131:H131"/>
    <mergeCell ref="C133:D134"/>
    <mergeCell ref="E133:K133"/>
    <mergeCell ref="L133:M133"/>
    <mergeCell ref="O119:O120"/>
    <mergeCell ref="C119:D120"/>
    <mergeCell ref="E119:K119"/>
    <mergeCell ref="N119:N120"/>
    <mergeCell ref="L119:M119"/>
    <mergeCell ref="G117:H117"/>
    <mergeCell ref="C105:D106"/>
    <mergeCell ref="E105:K105"/>
    <mergeCell ref="N105:N106"/>
    <mergeCell ref="O105:O106"/>
    <mergeCell ref="L105:M105"/>
    <mergeCell ref="G103:H103"/>
    <mergeCell ref="O76:O77"/>
    <mergeCell ref="C90:D91"/>
    <mergeCell ref="E90:K90"/>
    <mergeCell ref="N90:N91"/>
    <mergeCell ref="O90:O91"/>
    <mergeCell ref="N76:N77"/>
    <mergeCell ref="L90:M90"/>
    <mergeCell ref="G88:H88"/>
    <mergeCell ref="C76:D77"/>
    <mergeCell ref="E76:K76"/>
    <mergeCell ref="L76:M76"/>
    <mergeCell ref="C20:D21"/>
    <mergeCell ref="E20:K20"/>
    <mergeCell ref="L20:M20"/>
    <mergeCell ref="G74:H74"/>
    <mergeCell ref="O48:O49"/>
    <mergeCell ref="C62:D63"/>
    <mergeCell ref="E62:K62"/>
    <mergeCell ref="N62:N63"/>
    <mergeCell ref="O62:O63"/>
    <mergeCell ref="N48:N49"/>
    <mergeCell ref="L62:M62"/>
    <mergeCell ref="G60:H60"/>
    <mergeCell ref="C48:D49"/>
    <mergeCell ref="E48:K48"/>
    <mergeCell ref="L48:M48"/>
    <mergeCell ref="E34:K34"/>
    <mergeCell ref="N34:N35"/>
    <mergeCell ref="O34:O35"/>
    <mergeCell ref="N20:N21"/>
    <mergeCell ref="L34:M34"/>
    <mergeCell ref="G32:H32"/>
    <mergeCell ref="N147:N148"/>
    <mergeCell ref="O147:O148"/>
    <mergeCell ref="G4:H4"/>
    <mergeCell ref="G145:H145"/>
    <mergeCell ref="C147:D148"/>
    <mergeCell ref="E147:K147"/>
    <mergeCell ref="L147:M147"/>
    <mergeCell ref="G18:H18"/>
    <mergeCell ref="C6:D7"/>
    <mergeCell ref="E6:K6"/>
    <mergeCell ref="N6:N7"/>
    <mergeCell ref="O6:O7"/>
    <mergeCell ref="L6:M6"/>
    <mergeCell ref="G46:H46"/>
    <mergeCell ref="O20:O21"/>
    <mergeCell ref="C34:D35"/>
  </mergeCells>
  <conditionalFormatting sqref="C8:O8 C26:O26 C39:O40 C68:O68 C81:O82 C79:K80 C78:O78 C95:O96 E11:N12 C110:O111 C125:O125 E64:I64 E50:I50 F51:I54 E92:M92 E36:N36 E107:L107 G121:L124 E135:K139">
    <cfRule type="expression" dxfId="720" priority="111">
      <formula>$D8=0</formula>
    </cfRule>
  </conditionalFormatting>
  <conditionalFormatting sqref="B60">
    <cfRule type="expression" dxfId="719" priority="130">
      <formula>E60="yes"</formula>
    </cfRule>
  </conditionalFormatting>
  <conditionalFormatting sqref="B4">
    <cfRule type="expression" dxfId="718" priority="138">
      <formula>E4="yes"</formula>
    </cfRule>
  </conditionalFormatting>
  <conditionalFormatting sqref="B18">
    <cfRule type="expression" dxfId="717" priority="136">
      <formula>E18="yes"</formula>
    </cfRule>
  </conditionalFormatting>
  <conditionalFormatting sqref="B32">
    <cfRule type="expression" dxfId="716" priority="134">
      <formula>E32="yes"</formula>
    </cfRule>
  </conditionalFormatting>
  <conditionalFormatting sqref="B46">
    <cfRule type="expression" dxfId="715" priority="132">
      <formula>E46="yes"</formula>
    </cfRule>
  </conditionalFormatting>
  <conditionalFormatting sqref="B74">
    <cfRule type="expression" dxfId="714" priority="128">
      <formula>E74="yes"</formula>
    </cfRule>
  </conditionalFormatting>
  <conditionalFormatting sqref="B88">
    <cfRule type="expression" dxfId="713" priority="126">
      <formula>E88="yes"</formula>
    </cfRule>
  </conditionalFormatting>
  <conditionalFormatting sqref="B103">
    <cfRule type="expression" dxfId="712" priority="122">
      <formula>E103="yes"</formula>
    </cfRule>
  </conditionalFormatting>
  <conditionalFormatting sqref="D40">
    <cfRule type="expression" dxfId="711" priority="110">
      <formula>$D40=0</formula>
    </cfRule>
  </conditionalFormatting>
  <conditionalFormatting sqref="C50:D54 O50:O54">
    <cfRule type="expression" dxfId="710" priority="109">
      <formula>$D50=0</formula>
    </cfRule>
  </conditionalFormatting>
  <conditionalFormatting sqref="C9:D12 O9:O12">
    <cfRule type="expression" dxfId="709" priority="118">
      <formula>$D9=0</formula>
    </cfRule>
  </conditionalFormatting>
  <conditionalFormatting sqref="C12">
    <cfRule type="expression" dxfId="708" priority="117">
      <formula>$D12=0</formula>
    </cfRule>
  </conditionalFormatting>
  <conditionalFormatting sqref="D12">
    <cfRule type="expression" dxfId="707" priority="116">
      <formula>$D12=0</formula>
    </cfRule>
  </conditionalFormatting>
  <conditionalFormatting sqref="C22:D25 O22:O25">
    <cfRule type="expression" dxfId="706" priority="115">
      <formula>$D22=0</formula>
    </cfRule>
  </conditionalFormatting>
  <conditionalFormatting sqref="C26">
    <cfRule type="expression" dxfId="705" priority="114">
      <formula>$D26=0</formula>
    </cfRule>
  </conditionalFormatting>
  <conditionalFormatting sqref="D26">
    <cfRule type="expression" dxfId="704" priority="113">
      <formula>$D26=0</formula>
    </cfRule>
  </conditionalFormatting>
  <conditionalFormatting sqref="C36:D38 O36:O38">
    <cfRule type="expression" dxfId="703" priority="112">
      <formula>$D36=0</formula>
    </cfRule>
  </conditionalFormatting>
  <conditionalFormatting sqref="C54">
    <cfRule type="expression" dxfId="702" priority="108">
      <formula>$D54=0</formula>
    </cfRule>
  </conditionalFormatting>
  <conditionalFormatting sqref="D54">
    <cfRule type="expression" dxfId="701" priority="107">
      <formula>$D54=0</formula>
    </cfRule>
  </conditionalFormatting>
  <conditionalFormatting sqref="C64:D67 O64:O67">
    <cfRule type="expression" dxfId="700" priority="106">
      <formula>$D64=0</formula>
    </cfRule>
  </conditionalFormatting>
  <conditionalFormatting sqref="C68">
    <cfRule type="expression" dxfId="699" priority="105">
      <formula>$D68=0</formula>
    </cfRule>
  </conditionalFormatting>
  <conditionalFormatting sqref="D68">
    <cfRule type="expression" dxfId="698" priority="104">
      <formula>$D68=0</formula>
    </cfRule>
  </conditionalFormatting>
  <conditionalFormatting sqref="N79:O80">
    <cfRule type="expression" dxfId="697" priority="103">
      <formula>$D79=0</formula>
    </cfRule>
  </conditionalFormatting>
  <conditionalFormatting sqref="C82">
    <cfRule type="expression" dxfId="696" priority="102">
      <formula>$D82=0</formula>
    </cfRule>
  </conditionalFormatting>
  <conditionalFormatting sqref="D82">
    <cfRule type="expression" dxfId="695" priority="101">
      <formula>$D82=0</formula>
    </cfRule>
  </conditionalFormatting>
  <conditionalFormatting sqref="C92:D94 N92:N94">
    <cfRule type="expression" dxfId="694" priority="100">
      <formula>$D92=0</formula>
    </cfRule>
  </conditionalFormatting>
  <conditionalFormatting sqref="C96">
    <cfRule type="expression" dxfId="693" priority="99">
      <formula>$D96=0</formula>
    </cfRule>
  </conditionalFormatting>
  <conditionalFormatting sqref="D96">
    <cfRule type="expression" dxfId="692" priority="98">
      <formula>$D96=0</formula>
    </cfRule>
  </conditionalFormatting>
  <conditionalFormatting sqref="D125">
    <cfRule type="expression" dxfId="691" priority="87">
      <formula>$D125=0</formula>
    </cfRule>
  </conditionalFormatting>
  <conditionalFormatting sqref="L10:N10">
    <cfRule type="expression" dxfId="690" priority="85">
      <formula>$D10=0</formula>
    </cfRule>
  </conditionalFormatting>
  <conditionalFormatting sqref="C107:D109 O107:O109">
    <cfRule type="expression" dxfId="689" priority="94">
      <formula>$D107=0</formula>
    </cfRule>
  </conditionalFormatting>
  <conditionalFormatting sqref="C111">
    <cfRule type="expression" dxfId="688" priority="93">
      <formula>$D111=0</formula>
    </cfRule>
  </conditionalFormatting>
  <conditionalFormatting sqref="D111">
    <cfRule type="expression" dxfId="687" priority="92">
      <formula>$D111=0</formula>
    </cfRule>
  </conditionalFormatting>
  <conditionalFormatting sqref="B117">
    <cfRule type="expression" dxfId="686" priority="90">
      <formula>E117="yes"</formula>
    </cfRule>
  </conditionalFormatting>
  <conditionalFormatting sqref="C121:D124 O121:O124">
    <cfRule type="expression" dxfId="685" priority="89">
      <formula>$D121=0</formula>
    </cfRule>
  </conditionalFormatting>
  <conditionalFormatting sqref="C125">
    <cfRule type="expression" dxfId="684" priority="88">
      <formula>$D125=0</formula>
    </cfRule>
  </conditionalFormatting>
  <conditionalFormatting sqref="E25">
    <cfRule type="expression" dxfId="683" priority="84">
      <formula>$D25=0</formula>
    </cfRule>
  </conditionalFormatting>
  <conditionalFormatting sqref="G24:G25">
    <cfRule type="expression" dxfId="682" priority="83">
      <formula>$D24=0</formula>
    </cfRule>
  </conditionalFormatting>
  <conditionalFormatting sqref="H24:H25">
    <cfRule type="expression" dxfId="681" priority="82">
      <formula>$D24=0</formula>
    </cfRule>
  </conditionalFormatting>
  <conditionalFormatting sqref="J25">
    <cfRule type="expression" dxfId="680" priority="81">
      <formula>$D25=0</formula>
    </cfRule>
  </conditionalFormatting>
  <conditionalFormatting sqref="L23">
    <cfRule type="expression" dxfId="679" priority="80">
      <formula>$D23=0</formula>
    </cfRule>
  </conditionalFormatting>
  <conditionalFormatting sqref="L24">
    <cfRule type="expression" dxfId="678" priority="79">
      <formula>$D24=0</formula>
    </cfRule>
  </conditionalFormatting>
  <conditionalFormatting sqref="L25">
    <cfRule type="expression" dxfId="677" priority="78">
      <formula>$D25=0</formula>
    </cfRule>
  </conditionalFormatting>
  <conditionalFormatting sqref="F65:F67 N65:N67 I65:I67 L64:N64">
    <cfRule type="expression" dxfId="676" priority="62">
      <formula>$D64=0</formula>
    </cfRule>
  </conditionalFormatting>
  <conditionalFormatting sqref="E66">
    <cfRule type="expression" dxfId="675" priority="61">
      <formula>$D66=0</formula>
    </cfRule>
  </conditionalFormatting>
  <conditionalFormatting sqref="E67">
    <cfRule type="expression" dxfId="674" priority="60">
      <formula>$D67=0</formula>
    </cfRule>
  </conditionalFormatting>
  <conditionalFormatting sqref="E53">
    <cfRule type="expression" dxfId="673" priority="49">
      <formula>$D53=0</formula>
    </cfRule>
  </conditionalFormatting>
  <conditionalFormatting sqref="E54">
    <cfRule type="expression" dxfId="672" priority="48">
      <formula>$D54=0</formula>
    </cfRule>
  </conditionalFormatting>
  <conditionalFormatting sqref="J64:J67">
    <cfRule type="expression" dxfId="671" priority="57">
      <formula>$D64=0</formula>
    </cfRule>
  </conditionalFormatting>
  <conditionalFormatting sqref="K64:K67">
    <cfRule type="expression" dxfId="670" priority="56">
      <formula>$D64=0</formula>
    </cfRule>
  </conditionalFormatting>
  <conditionalFormatting sqref="L65:M66">
    <cfRule type="expression" dxfId="669" priority="55">
      <formula>$D65=0</formula>
    </cfRule>
  </conditionalFormatting>
  <conditionalFormatting sqref="L67:M67">
    <cfRule type="expression" dxfId="668" priority="54">
      <formula>$D67=0</formula>
    </cfRule>
  </conditionalFormatting>
  <conditionalFormatting sqref="K50:K54">
    <cfRule type="expression" dxfId="667" priority="43">
      <formula>$D50=0</formula>
    </cfRule>
  </conditionalFormatting>
  <conditionalFormatting sqref="L51:M51 M52 L52:L54">
    <cfRule type="expression" dxfId="666" priority="42">
      <formula>$D51=0</formula>
    </cfRule>
  </conditionalFormatting>
  <conditionalFormatting sqref="N51:N54 L50:N50">
    <cfRule type="expression" dxfId="665" priority="51">
      <formula>$D50=0</formula>
    </cfRule>
  </conditionalFormatting>
  <conditionalFormatting sqref="E52">
    <cfRule type="expression" dxfId="664" priority="50">
      <formula>$D52=0</formula>
    </cfRule>
  </conditionalFormatting>
  <conditionalFormatting sqref="L79:M80">
    <cfRule type="expression" dxfId="663" priority="36">
      <formula>$D79=0</formula>
    </cfRule>
  </conditionalFormatting>
  <conditionalFormatting sqref="F93:F94 H93:M94 E94">
    <cfRule type="expression" dxfId="662" priority="35">
      <formula>$D93=0</formula>
    </cfRule>
  </conditionalFormatting>
  <conditionalFormatting sqref="J50:J54">
    <cfRule type="expression" dxfId="661" priority="44">
      <formula>$D50=0</formula>
    </cfRule>
  </conditionalFormatting>
  <conditionalFormatting sqref="G38">
    <cfRule type="expression" dxfId="660" priority="38">
      <formula>$D38=0</formula>
    </cfRule>
  </conditionalFormatting>
  <conditionalFormatting sqref="F37:F38 H38:I38 H37:N37 L38:N38">
    <cfRule type="expression" dxfId="659" priority="40">
      <formula>$D37=0</formula>
    </cfRule>
  </conditionalFormatting>
  <conditionalFormatting sqref="E38">
    <cfRule type="expression" dxfId="658" priority="39">
      <formula>$D38=0</formula>
    </cfRule>
  </conditionalFormatting>
  <conditionalFormatting sqref="F108:F109 H108:L109">
    <cfRule type="expression" dxfId="657" priority="34">
      <formula>$D108=0</formula>
    </cfRule>
  </conditionalFormatting>
  <conditionalFormatting sqref="N107:N109">
    <cfRule type="expression" dxfId="656" priority="33">
      <formula>$D107=0</formula>
    </cfRule>
  </conditionalFormatting>
  <conditionalFormatting sqref="E121 N121:N124">
    <cfRule type="expression" dxfId="655" priority="32">
      <formula>$D121=0</formula>
    </cfRule>
  </conditionalFormatting>
  <conditionalFormatting sqref="L9">
    <cfRule type="expression" dxfId="654" priority="31">
      <formula>$D9=0</formula>
    </cfRule>
  </conditionalFormatting>
  <conditionalFormatting sqref="M9">
    <cfRule type="expression" dxfId="653" priority="30">
      <formula>$D9=0</formula>
    </cfRule>
  </conditionalFormatting>
  <conditionalFormatting sqref="M23">
    <cfRule type="expression" dxfId="652" priority="29">
      <formula>$D23=0</formula>
    </cfRule>
  </conditionalFormatting>
  <conditionalFormatting sqref="M24">
    <cfRule type="expression" dxfId="651" priority="28">
      <formula>$D24=0</formula>
    </cfRule>
  </conditionalFormatting>
  <conditionalFormatting sqref="M25">
    <cfRule type="expression" dxfId="650" priority="27">
      <formula>$D25=0</formula>
    </cfRule>
  </conditionalFormatting>
  <conditionalFormatting sqref="M107:M109">
    <cfRule type="expression" dxfId="649" priority="23">
      <formula>$D107=0</formula>
    </cfRule>
  </conditionalFormatting>
  <conditionalFormatting sqref="M53">
    <cfRule type="expression" dxfId="648" priority="24">
      <formula>$D53=0</formula>
    </cfRule>
  </conditionalFormatting>
  <conditionalFormatting sqref="M121:M124">
    <cfRule type="expression" dxfId="647" priority="22">
      <formula>$D121=0</formula>
    </cfRule>
  </conditionalFormatting>
  <conditionalFormatting sqref="J38:K38">
    <cfRule type="expression" dxfId="646" priority="21">
      <formula>$D38=0</formula>
    </cfRule>
  </conditionalFormatting>
  <conditionalFormatting sqref="M54">
    <cfRule type="expression" dxfId="645" priority="20">
      <formula>$D54=0</formula>
    </cfRule>
  </conditionalFormatting>
  <conditionalFormatting sqref="F121:F124">
    <cfRule type="expression" dxfId="644" priority="16">
      <formula>$D121=0</formula>
    </cfRule>
  </conditionalFormatting>
  <conditionalFormatting sqref="O92:O94">
    <cfRule type="expression" dxfId="643" priority="15">
      <formula>$D92=0</formula>
    </cfRule>
  </conditionalFormatting>
  <conditionalFormatting sqref="B131">
    <cfRule type="expression" dxfId="642" priority="14">
      <formula>E131="yes"</formula>
    </cfRule>
  </conditionalFormatting>
  <conditionalFormatting sqref="C135:D139">
    <cfRule type="expression" dxfId="641" priority="13">
      <formula>$D135=0</formula>
    </cfRule>
  </conditionalFormatting>
  <conditionalFormatting sqref="C139">
    <cfRule type="expression" dxfId="640" priority="12">
      <formula>$D139=0</formula>
    </cfRule>
  </conditionalFormatting>
  <conditionalFormatting sqref="D139">
    <cfRule type="expression" dxfId="639" priority="11">
      <formula>$D139=0</formula>
    </cfRule>
  </conditionalFormatting>
  <conditionalFormatting sqref="C149:N153">
    <cfRule type="expression" dxfId="638" priority="4">
      <formula>$D149=0</formula>
    </cfRule>
  </conditionalFormatting>
  <conditionalFormatting sqref="O149:O153">
    <cfRule type="expression" dxfId="637" priority="3">
      <formula>$D149=0</formula>
    </cfRule>
  </conditionalFormatting>
  <conditionalFormatting sqref="L135:N139">
    <cfRule type="expression" dxfId="636" priority="2">
      <formula>$D135=0</formula>
    </cfRule>
  </conditionalFormatting>
  <conditionalFormatting sqref="O135:O139">
    <cfRule type="expression" dxfId="635" priority="1">
      <formula>$D135=0</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156"/>
  <sheetViews>
    <sheetView topLeftCell="B1" zoomScale="50" zoomScaleNormal="50" workbookViewId="0">
      <pane ySplit="1" topLeftCell="A2" activePane="bottomLeft" state="frozen"/>
      <selection pane="bottomLeft" activeCell="F10" sqref="F10"/>
    </sheetView>
  </sheetViews>
  <sheetFormatPr defaultColWidth="9.453125" defaultRowHeight="14.5" outlineLevelRow="2" x14ac:dyDescent="0.35"/>
  <cols>
    <col min="1" max="1" width="3.453125" style="481" customWidth="1"/>
    <col min="2" max="2" width="5.453125" style="481" customWidth="1"/>
    <col min="3" max="3" width="14.54296875" style="485" customWidth="1"/>
    <col min="4" max="4" width="60.54296875" style="485" customWidth="1"/>
    <col min="5" max="6" width="20" style="485" customWidth="1"/>
    <col min="7" max="11" width="20" style="523" customWidth="1"/>
    <col min="12" max="13" width="28" style="523" customWidth="1"/>
    <col min="14" max="14" width="20" style="523" customWidth="1"/>
    <col min="15" max="15" width="33.453125" style="523" customWidth="1"/>
    <col min="16" max="16" width="53.54296875" style="485" customWidth="1"/>
    <col min="17" max="17" width="27" style="485" customWidth="1"/>
    <col min="18" max="16384" width="9.453125" style="485"/>
  </cols>
  <sheetData>
    <row r="1" spans="1:24" s="479" customFormat="1" ht="37.5" customHeight="1" thickBot="1" x14ac:dyDescent="0.55000000000000004">
      <c r="A1" s="477"/>
      <c r="B1" s="477"/>
      <c r="C1" s="477" t="s">
        <v>676</v>
      </c>
      <c r="D1" s="478" t="s">
        <v>764</v>
      </c>
      <c r="G1" s="480"/>
      <c r="H1" s="480"/>
      <c r="I1" s="480"/>
      <c r="J1" s="480"/>
      <c r="K1" s="480"/>
      <c r="L1" s="480"/>
      <c r="M1" s="480"/>
      <c r="N1" s="480"/>
      <c r="O1" s="480"/>
      <c r="R1" s="479">
        <f>IF(SUM(R6:R157)&gt;0,1,0)</f>
        <v>1</v>
      </c>
      <c r="S1" s="479">
        <f t="shared" ref="S1:X1" si="0">IF(SUM(S6:S157)&gt;0,1,0)</f>
        <v>1</v>
      </c>
      <c r="T1" s="479">
        <f t="shared" si="0"/>
        <v>1</v>
      </c>
      <c r="U1" s="479">
        <f t="shared" si="0"/>
        <v>1</v>
      </c>
      <c r="V1" s="479">
        <f t="shared" si="0"/>
        <v>1</v>
      </c>
      <c r="W1" s="479">
        <f t="shared" si="0"/>
        <v>1</v>
      </c>
      <c r="X1" s="479">
        <f t="shared" si="0"/>
        <v>1</v>
      </c>
    </row>
    <row r="2" spans="1:24" s="481" customFormat="1" ht="26.25" customHeight="1" thickTop="1" thickBot="1" x14ac:dyDescent="0.4">
      <c r="O2" s="482"/>
    </row>
    <row r="3" spans="1:24" ht="17.25" customHeight="1" thickBot="1" x14ac:dyDescent="0.4">
      <c r="C3" s="483" t="s">
        <v>677</v>
      </c>
      <c r="D3" s="484" t="s">
        <v>678</v>
      </c>
      <c r="E3" s="481"/>
      <c r="F3" s="481"/>
      <c r="G3" s="482"/>
      <c r="H3" s="482"/>
      <c r="I3" s="482"/>
      <c r="J3" s="482"/>
      <c r="K3" s="482"/>
      <c r="L3" s="482"/>
      <c r="M3" s="482"/>
      <c r="N3" s="482"/>
      <c r="O3" s="482"/>
      <c r="P3" s="481"/>
    </row>
    <row r="4" spans="1:24" s="492" customFormat="1" ht="36.75" customHeight="1" thickBot="1" x14ac:dyDescent="0.7">
      <c r="A4" s="481"/>
      <c r="B4" s="486" t="s">
        <v>679</v>
      </c>
      <c r="C4" s="487" t="s">
        <v>225</v>
      </c>
      <c r="D4" s="514" t="str">
        <f>VLOOKUP(C4,overview_of_services!$B$2:$I$88,3,FALSE)</f>
        <v>Supply air flow control at the room level</v>
      </c>
      <c r="E4" s="489"/>
      <c r="F4" s="490" t="s">
        <v>680</v>
      </c>
      <c r="G4" s="578" t="str">
        <f>VLOOKUP(C4,overview_of_services!$B$2:$I$88,2,FALSE)</f>
        <v>Air flow control</v>
      </c>
      <c r="H4" s="578"/>
      <c r="I4" s="490"/>
      <c r="J4" s="491"/>
      <c r="K4" s="491"/>
      <c r="L4" s="491"/>
      <c r="M4" s="491"/>
      <c r="N4" s="491"/>
      <c r="O4" s="491"/>
      <c r="R4" s="492" t="s">
        <v>681</v>
      </c>
      <c r="S4" s="492">
        <f>ROW()</f>
        <v>4</v>
      </c>
    </row>
    <row r="5" spans="1:24" ht="5.25" customHeight="1" x14ac:dyDescent="0.35">
      <c r="C5" s="493"/>
      <c r="D5" s="493"/>
      <c r="E5" s="493"/>
      <c r="F5" s="493"/>
      <c r="G5" s="493"/>
      <c r="H5" s="493"/>
      <c r="I5" s="493"/>
      <c r="J5" s="493"/>
      <c r="K5" s="493"/>
      <c r="L5" s="493"/>
      <c r="M5" s="493"/>
      <c r="N5" s="493"/>
      <c r="O5" s="494"/>
      <c r="P5" s="481"/>
    </row>
    <row r="6" spans="1:24" ht="20.25" customHeight="1" outlineLevel="1" x14ac:dyDescent="0.35">
      <c r="C6" s="575" t="s">
        <v>682</v>
      </c>
      <c r="D6" s="575"/>
      <c r="E6" s="577" t="s">
        <v>683</v>
      </c>
      <c r="F6" s="577"/>
      <c r="G6" s="577"/>
      <c r="H6" s="577"/>
      <c r="I6" s="577"/>
      <c r="J6" s="577"/>
      <c r="K6" s="577"/>
      <c r="L6" s="573" t="s">
        <v>684</v>
      </c>
      <c r="M6" s="574"/>
      <c r="N6" s="569" t="s">
        <v>685</v>
      </c>
      <c r="O6" s="571" t="s">
        <v>686</v>
      </c>
      <c r="P6" s="481"/>
    </row>
    <row r="7" spans="1:24" ht="36.75" customHeight="1" outlineLevel="1" thickBot="1" x14ac:dyDescent="0.4">
      <c r="C7" s="576"/>
      <c r="D7" s="576"/>
      <c r="E7" s="495" t="s">
        <v>687</v>
      </c>
      <c r="F7" s="495" t="s">
        <v>688</v>
      </c>
      <c r="G7" s="495" t="s">
        <v>689</v>
      </c>
      <c r="H7" s="495" t="s">
        <v>690</v>
      </c>
      <c r="I7" s="495" t="s">
        <v>616</v>
      </c>
      <c r="J7" s="495" t="s">
        <v>691</v>
      </c>
      <c r="K7" s="495" t="s">
        <v>692</v>
      </c>
      <c r="L7" s="496" t="s">
        <v>693</v>
      </c>
      <c r="M7" s="496" t="s">
        <v>694</v>
      </c>
      <c r="N7" s="570"/>
      <c r="O7" s="572"/>
      <c r="P7" s="481"/>
    </row>
    <row r="8" spans="1:24" s="503" customFormat="1" ht="35.25" customHeight="1" outlineLevel="1" thickTop="1" x14ac:dyDescent="0.5">
      <c r="A8" s="481"/>
      <c r="B8" s="481"/>
      <c r="C8" s="497" t="s">
        <v>695</v>
      </c>
      <c r="D8" s="498" t="str">
        <f>VLOOKUP(C4,overview_of_services!$B$2:$I$88,4,FALSE)</f>
        <v>No ventilation system or manual control</v>
      </c>
      <c r="E8" s="499">
        <v>0</v>
      </c>
      <c r="F8" s="499">
        <v>0</v>
      </c>
      <c r="G8" s="499">
        <v>0</v>
      </c>
      <c r="H8" s="499">
        <v>0</v>
      </c>
      <c r="I8" s="499">
        <v>0</v>
      </c>
      <c r="J8" s="499">
        <v>0</v>
      </c>
      <c r="K8" s="499">
        <v>0</v>
      </c>
      <c r="L8" s="500" t="s">
        <v>696</v>
      </c>
      <c r="M8" s="500" t="s">
        <v>696</v>
      </c>
      <c r="N8" s="501">
        <v>0</v>
      </c>
      <c r="O8" s="502" t="s">
        <v>697</v>
      </c>
      <c r="P8" s="504"/>
      <c r="R8" s="504">
        <f t="shared" ref="R8:S12" si="1">IF(E8=0,0,(IF(E8="+",1,(IF(E8="++",2,(IF(E8="+++",3,(IF(E8="++++",4,(IF(E8="-",-1,(IF(E8="--",-2,(IF(E8="---",-3,(IF(E8="----",-4,"NA")))))))))))))))))</f>
        <v>0</v>
      </c>
      <c r="S8" s="504">
        <f t="shared" si="1"/>
        <v>0</v>
      </c>
      <c r="T8" s="504">
        <f t="shared" ref="T8:X12" si="2">IF(G8=0,0,(IF(G8="+",1,(IF(G8="++",2,(IF(G8="+++",3,(IF(G8="++++",4,(IF(G8="-",-1,(IF(G8="--",-2,(IF(G8="---",-3,(IF(G8="----",-4,"NA")))))))))))))))))</f>
        <v>0</v>
      </c>
      <c r="U8" s="504">
        <f t="shared" si="2"/>
        <v>0</v>
      </c>
      <c r="V8" s="504">
        <f t="shared" si="2"/>
        <v>0</v>
      </c>
      <c r="W8" s="504">
        <f t="shared" si="2"/>
        <v>0</v>
      </c>
      <c r="X8" s="504">
        <f t="shared" si="2"/>
        <v>0</v>
      </c>
    </row>
    <row r="9" spans="1:24" s="503" customFormat="1" ht="35.25" customHeight="1" outlineLevel="1" x14ac:dyDescent="0.5">
      <c r="A9" s="481"/>
      <c r="B9" s="481"/>
      <c r="C9" s="505" t="s">
        <v>699</v>
      </c>
      <c r="D9" s="506" t="str">
        <f>VLOOKUP(C4,overview_of_services!$B$2:$I$88,5,FALSE)</f>
        <v>Clock control</v>
      </c>
      <c r="E9" s="499" t="s">
        <v>700</v>
      </c>
      <c r="F9" s="499">
        <v>0</v>
      </c>
      <c r="G9" s="499" t="s">
        <v>700</v>
      </c>
      <c r="H9" s="499" t="s">
        <v>700</v>
      </c>
      <c r="I9" s="499" t="s">
        <v>700</v>
      </c>
      <c r="J9" s="499">
        <v>0</v>
      </c>
      <c r="K9" s="499">
        <v>0</v>
      </c>
      <c r="L9" s="500" t="s">
        <v>708</v>
      </c>
      <c r="M9" s="500" t="s">
        <v>718</v>
      </c>
      <c r="N9" s="501">
        <v>1</v>
      </c>
      <c r="O9" s="502" t="s">
        <v>765</v>
      </c>
      <c r="P9" s="504"/>
      <c r="R9" s="504">
        <f t="shared" si="1"/>
        <v>1</v>
      </c>
      <c r="S9" s="504">
        <f t="shared" si="1"/>
        <v>0</v>
      </c>
      <c r="T9" s="504">
        <f t="shared" si="2"/>
        <v>1</v>
      </c>
      <c r="U9" s="504">
        <f t="shared" si="2"/>
        <v>1</v>
      </c>
      <c r="V9" s="504">
        <f t="shared" si="2"/>
        <v>1</v>
      </c>
      <c r="W9" s="504">
        <f t="shared" si="2"/>
        <v>0</v>
      </c>
      <c r="X9" s="504">
        <f t="shared" si="2"/>
        <v>0</v>
      </c>
    </row>
    <row r="10" spans="1:24" s="503" customFormat="1" ht="43.5" outlineLevel="1" x14ac:dyDescent="0.5">
      <c r="A10" s="481"/>
      <c r="B10" s="481"/>
      <c r="C10" s="505" t="s">
        <v>703</v>
      </c>
      <c r="D10" s="506" t="str">
        <f>VLOOKUP(C4,overview_of_services!$B$2:$I$88,6,FALSE)</f>
        <v>Occupancy detection control</v>
      </c>
      <c r="E10" s="499" t="s">
        <v>700</v>
      </c>
      <c r="F10" s="499">
        <v>0</v>
      </c>
      <c r="G10" s="507" t="s">
        <v>704</v>
      </c>
      <c r="H10" s="507" t="s">
        <v>704</v>
      </c>
      <c r="I10" s="507" t="s">
        <v>704</v>
      </c>
      <c r="J10" s="499">
        <v>0</v>
      </c>
      <c r="K10" s="499">
        <v>0</v>
      </c>
      <c r="L10" s="500" t="s">
        <v>708</v>
      </c>
      <c r="M10" s="500" t="s">
        <v>718</v>
      </c>
      <c r="N10" s="501">
        <v>1</v>
      </c>
      <c r="O10" s="502" t="s">
        <v>766</v>
      </c>
      <c r="P10" s="504"/>
      <c r="R10" s="504">
        <f t="shared" si="1"/>
        <v>1</v>
      </c>
      <c r="S10" s="504">
        <f t="shared" si="1"/>
        <v>0</v>
      </c>
      <c r="T10" s="504">
        <f t="shared" si="2"/>
        <v>2</v>
      </c>
      <c r="U10" s="504">
        <f t="shared" si="2"/>
        <v>2</v>
      </c>
      <c r="V10" s="504">
        <f t="shared" si="2"/>
        <v>2</v>
      </c>
      <c r="W10" s="504">
        <f t="shared" si="2"/>
        <v>0</v>
      </c>
      <c r="X10" s="504">
        <f t="shared" si="2"/>
        <v>0</v>
      </c>
    </row>
    <row r="11" spans="1:24" s="503" customFormat="1" ht="35.25" customHeight="1" outlineLevel="1" x14ac:dyDescent="0.5">
      <c r="A11" s="481"/>
      <c r="B11" s="481"/>
      <c r="C11" s="505" t="s">
        <v>706</v>
      </c>
      <c r="D11" s="506" t="str">
        <f>VLOOKUP(C4,overview_of_services!$B$2:$I$88,7,FALSE)</f>
        <v>Central Demand Control based on air quality sensors (CO2, VOC,...)</v>
      </c>
      <c r="E11" s="507" t="s">
        <v>704</v>
      </c>
      <c r="F11" s="499">
        <v>0</v>
      </c>
      <c r="G11" s="507" t="s">
        <v>707</v>
      </c>
      <c r="H11" s="507" t="s">
        <v>707</v>
      </c>
      <c r="I11" s="507" t="s">
        <v>707</v>
      </c>
      <c r="J11" s="499">
        <v>0</v>
      </c>
      <c r="K11" s="499">
        <v>0</v>
      </c>
      <c r="L11" s="500" t="s">
        <v>708</v>
      </c>
      <c r="M11" s="500" t="s">
        <v>718</v>
      </c>
      <c r="N11" s="501">
        <v>2</v>
      </c>
      <c r="O11" s="502" t="s">
        <v>767</v>
      </c>
      <c r="P11" s="504"/>
      <c r="R11" s="504">
        <f t="shared" si="1"/>
        <v>2</v>
      </c>
      <c r="S11" s="504">
        <f t="shared" si="1"/>
        <v>0</v>
      </c>
      <c r="T11" s="504">
        <f t="shared" si="2"/>
        <v>3</v>
      </c>
      <c r="U11" s="504">
        <f t="shared" si="2"/>
        <v>3</v>
      </c>
      <c r="V11" s="504">
        <f t="shared" si="2"/>
        <v>3</v>
      </c>
      <c r="W11" s="504">
        <f t="shared" si="2"/>
        <v>0</v>
      </c>
      <c r="X11" s="504">
        <f t="shared" si="2"/>
        <v>0</v>
      </c>
    </row>
    <row r="12" spans="1:24" s="503" customFormat="1" ht="35.25" customHeight="1" outlineLevel="1" x14ac:dyDescent="0.5">
      <c r="A12" s="481"/>
      <c r="B12" s="481"/>
      <c r="C12" s="505" t="s">
        <v>710</v>
      </c>
      <c r="D12" s="506" t="str">
        <f>VLOOKUP(C4,overview_of_services!$B$2:$I$88,8,FALSE)</f>
        <v>Local Demand Control based on air quality sensors (CO2, VOC,...) with local flow from/to the zone regulated by dampers</v>
      </c>
      <c r="E12" s="519" t="s">
        <v>707</v>
      </c>
      <c r="F12" s="525">
        <v>0</v>
      </c>
      <c r="G12" s="519" t="s">
        <v>707</v>
      </c>
      <c r="H12" s="519" t="s">
        <v>707</v>
      </c>
      <c r="I12" s="519" t="s">
        <v>707</v>
      </c>
      <c r="J12" s="525">
        <v>0</v>
      </c>
      <c r="K12" s="525">
        <v>0</v>
      </c>
      <c r="L12" s="500"/>
      <c r="M12" s="500"/>
      <c r="N12" s="501"/>
      <c r="O12" s="502"/>
      <c r="P12" s="504"/>
      <c r="R12" s="504">
        <f t="shared" si="1"/>
        <v>3</v>
      </c>
      <c r="S12" s="504">
        <f t="shared" si="1"/>
        <v>0</v>
      </c>
      <c r="T12" s="504">
        <f t="shared" si="2"/>
        <v>3</v>
      </c>
      <c r="U12" s="504">
        <f t="shared" si="2"/>
        <v>3</v>
      </c>
      <c r="V12" s="504">
        <f t="shared" si="2"/>
        <v>3</v>
      </c>
      <c r="W12" s="504">
        <f t="shared" si="2"/>
        <v>0</v>
      </c>
      <c r="X12" s="504">
        <f t="shared" si="2"/>
        <v>0</v>
      </c>
    </row>
    <row r="13" spans="1:24" s="503" customFormat="1" ht="6" customHeight="1" outlineLevel="2" thickBot="1" x14ac:dyDescent="0.4">
      <c r="A13" s="481"/>
      <c r="B13" s="481"/>
      <c r="C13" s="504"/>
      <c r="D13" s="504"/>
      <c r="E13" s="508"/>
      <c r="F13" s="508"/>
      <c r="G13" s="508"/>
      <c r="H13" s="508"/>
      <c r="I13" s="508"/>
      <c r="J13" s="508"/>
      <c r="K13" s="508"/>
      <c r="L13" s="504"/>
      <c r="M13" s="504"/>
      <c r="N13" s="504"/>
      <c r="O13" s="508"/>
      <c r="P13" s="504"/>
    </row>
    <row r="14" spans="1:24" s="503" customFormat="1" ht="30.75" customHeight="1" outlineLevel="2" thickBot="1" x14ac:dyDescent="0.4">
      <c r="A14" s="481"/>
      <c r="B14" s="481"/>
      <c r="C14" s="509"/>
      <c r="D14" s="509" t="s">
        <v>712</v>
      </c>
      <c r="E14" s="510" t="s">
        <v>729</v>
      </c>
      <c r="F14" s="511" t="s">
        <v>729</v>
      </c>
      <c r="G14" s="511" t="s">
        <v>729</v>
      </c>
      <c r="H14" s="511" t="s">
        <v>729</v>
      </c>
      <c r="I14" s="511" t="s">
        <v>729</v>
      </c>
      <c r="J14" s="511" t="s">
        <v>729</v>
      </c>
      <c r="K14" s="511" t="s">
        <v>729</v>
      </c>
      <c r="L14" s="511" t="s">
        <v>729</v>
      </c>
      <c r="M14" s="511" t="s">
        <v>729</v>
      </c>
      <c r="N14" s="511" t="s">
        <v>729</v>
      </c>
      <c r="O14" s="511" t="s">
        <v>729</v>
      </c>
      <c r="P14" s="504"/>
    </row>
    <row r="15" spans="1:24" s="503" customFormat="1" ht="30.75" customHeight="1" outlineLevel="2" thickBot="1" x14ac:dyDescent="0.4">
      <c r="A15" s="481"/>
      <c r="B15" s="481"/>
      <c r="C15" s="509"/>
      <c r="D15" s="509" t="s">
        <v>714</v>
      </c>
      <c r="E15" s="510" t="s">
        <v>30</v>
      </c>
      <c r="F15" s="512"/>
      <c r="G15" s="511"/>
      <c r="H15" s="511"/>
      <c r="I15" s="511"/>
      <c r="J15" s="511"/>
      <c r="K15" s="511"/>
      <c r="L15" s="510"/>
      <c r="M15" s="510"/>
      <c r="N15" s="513"/>
      <c r="O15" s="510"/>
      <c r="P15" s="504"/>
    </row>
    <row r="16" spans="1:24" ht="20.25" customHeight="1" outlineLevel="1" thickBot="1" x14ac:dyDescent="0.4">
      <c r="C16" s="481"/>
      <c r="D16" s="481"/>
      <c r="E16" s="481"/>
      <c r="F16" s="481"/>
      <c r="G16" s="482"/>
      <c r="H16" s="482"/>
      <c r="I16" s="482"/>
      <c r="J16" s="482"/>
      <c r="K16" s="482"/>
      <c r="L16" s="482"/>
      <c r="M16" s="482"/>
      <c r="N16" s="482"/>
      <c r="O16" s="482"/>
      <c r="P16" s="481"/>
    </row>
    <row r="17" spans="1:24" ht="17.25" customHeight="1" thickBot="1" x14ac:dyDescent="0.4">
      <c r="C17" s="483" t="s">
        <v>677</v>
      </c>
      <c r="D17" s="484" t="s">
        <v>678</v>
      </c>
      <c r="E17" s="481"/>
      <c r="F17" s="481"/>
      <c r="G17" s="482"/>
      <c r="H17" s="482"/>
      <c r="I17" s="482"/>
      <c r="J17" s="482"/>
      <c r="K17" s="482"/>
      <c r="L17" s="482"/>
      <c r="M17" s="482"/>
      <c r="N17" s="482"/>
      <c r="O17" s="482"/>
      <c r="P17" s="481"/>
    </row>
    <row r="18" spans="1:24" s="492" customFormat="1" ht="36.75" customHeight="1" thickBot="1" x14ac:dyDescent="0.7">
      <c r="A18" s="481"/>
      <c r="B18" s="486" t="s">
        <v>679</v>
      </c>
      <c r="C18" s="487" t="s">
        <v>231</v>
      </c>
      <c r="D18" s="514" t="str">
        <f>VLOOKUP(C18,overview_of_services!$B$2:$I$88,3,FALSE)</f>
        <v>Adjust the outdoor air flow or exhaust air rate</v>
      </c>
      <c r="E18" s="489"/>
      <c r="F18" s="490" t="s">
        <v>680</v>
      </c>
      <c r="G18" s="578" t="str">
        <f>VLOOKUP(C18,overview_of_services!$B$2:$I$88,2,FALSE)</f>
        <v>Air flow control</v>
      </c>
      <c r="H18" s="578"/>
      <c r="I18" s="490"/>
      <c r="J18" s="491"/>
      <c r="K18" s="491"/>
      <c r="L18" s="491"/>
      <c r="M18" s="491"/>
      <c r="N18" s="491"/>
      <c r="O18" s="491"/>
      <c r="R18" s="492" t="s">
        <v>681</v>
      </c>
      <c r="S18" s="492">
        <f>ROW()</f>
        <v>18</v>
      </c>
    </row>
    <row r="19" spans="1:24" ht="5.25" customHeight="1" x14ac:dyDescent="0.35">
      <c r="C19" s="493"/>
      <c r="D19" s="493"/>
      <c r="E19" s="493"/>
      <c r="F19" s="493"/>
      <c r="G19" s="493"/>
      <c r="H19" s="493"/>
      <c r="I19" s="493"/>
      <c r="J19" s="493"/>
      <c r="K19" s="493"/>
      <c r="L19" s="493"/>
      <c r="M19" s="493"/>
      <c r="N19" s="493"/>
      <c r="O19" s="494"/>
      <c r="P19" s="481"/>
    </row>
    <row r="20" spans="1:24" ht="20.25" customHeight="1" outlineLevel="1" x14ac:dyDescent="0.35">
      <c r="C20" s="575" t="s">
        <v>682</v>
      </c>
      <c r="D20" s="575"/>
      <c r="E20" s="577" t="s">
        <v>683</v>
      </c>
      <c r="F20" s="577"/>
      <c r="G20" s="577"/>
      <c r="H20" s="577"/>
      <c r="I20" s="577"/>
      <c r="J20" s="577"/>
      <c r="K20" s="577"/>
      <c r="L20" s="573" t="s">
        <v>684</v>
      </c>
      <c r="M20" s="574"/>
      <c r="N20" s="569" t="s">
        <v>685</v>
      </c>
      <c r="O20" s="571" t="s">
        <v>686</v>
      </c>
      <c r="P20" s="481"/>
    </row>
    <row r="21" spans="1:24" ht="36.75" customHeight="1" outlineLevel="1" thickBot="1" x14ac:dyDescent="0.4">
      <c r="C21" s="576"/>
      <c r="D21" s="576"/>
      <c r="E21" s="495" t="s">
        <v>687</v>
      </c>
      <c r="F21" s="495" t="s">
        <v>688</v>
      </c>
      <c r="G21" s="495" t="s">
        <v>689</v>
      </c>
      <c r="H21" s="495" t="s">
        <v>690</v>
      </c>
      <c r="I21" s="495" t="s">
        <v>616</v>
      </c>
      <c r="J21" s="495" t="s">
        <v>691</v>
      </c>
      <c r="K21" s="495" t="s">
        <v>692</v>
      </c>
      <c r="L21" s="496" t="s">
        <v>693</v>
      </c>
      <c r="M21" s="496" t="s">
        <v>694</v>
      </c>
      <c r="N21" s="570"/>
      <c r="O21" s="572"/>
      <c r="P21" s="481"/>
    </row>
    <row r="22" spans="1:24" s="503" customFormat="1" ht="35.25" customHeight="1" outlineLevel="1" thickTop="1" x14ac:dyDescent="0.5">
      <c r="A22" s="481"/>
      <c r="B22" s="481"/>
      <c r="C22" s="497" t="s">
        <v>695</v>
      </c>
      <c r="D22" s="498" t="str">
        <f>VLOOKUP(C18,overview_of_services!$B$2:$I$88,4,FALSE)</f>
        <v>Fixed OA ratio / OA flow</v>
      </c>
      <c r="E22" s="499">
        <v>0</v>
      </c>
      <c r="F22" s="499">
        <v>0</v>
      </c>
      <c r="G22" s="499">
        <v>0</v>
      </c>
      <c r="H22" s="499">
        <v>0</v>
      </c>
      <c r="I22" s="499">
        <v>0</v>
      </c>
      <c r="J22" s="499">
        <v>0</v>
      </c>
      <c r="K22" s="499">
        <v>0</v>
      </c>
      <c r="L22" s="500" t="s">
        <v>696</v>
      </c>
      <c r="M22" s="500" t="s">
        <v>696</v>
      </c>
      <c r="N22" s="501">
        <v>0</v>
      </c>
      <c r="O22" s="502" t="s">
        <v>721</v>
      </c>
      <c r="P22" s="504"/>
      <c r="R22" s="504">
        <f t="shared" ref="R22:S26" si="3">IF(E22=0,0,(IF(E22="+",1,(IF(E22="++",2,(IF(E22="+++",3,(IF(E22="++++",4,(IF(E22="-",-1,(IF(E22="--",-2,(IF(E22="---",-3,(IF(E22="----",-4,"NA")))))))))))))))))</f>
        <v>0</v>
      </c>
      <c r="S22" s="504">
        <f t="shared" si="3"/>
        <v>0</v>
      </c>
      <c r="T22" s="504">
        <f t="shared" ref="T22:X26" si="4">IF(G22=0,0,(IF(G22="+",1,(IF(G22="++",2,(IF(G22="+++",3,(IF(G22="++++",4,(IF(G22="-",-1,(IF(G22="--",-2,(IF(G22="---",-3,(IF(G22="----",-4,"NA")))))))))))))))))</f>
        <v>0</v>
      </c>
      <c r="U22" s="504">
        <f t="shared" si="4"/>
        <v>0</v>
      </c>
      <c r="V22" s="504">
        <f t="shared" si="4"/>
        <v>0</v>
      </c>
      <c r="W22" s="504">
        <f t="shared" si="4"/>
        <v>0</v>
      </c>
      <c r="X22" s="504">
        <f t="shared" si="4"/>
        <v>0</v>
      </c>
    </row>
    <row r="23" spans="1:24" s="503" customFormat="1" ht="35.25" customHeight="1" outlineLevel="1" x14ac:dyDescent="0.5">
      <c r="A23" s="481"/>
      <c r="B23" s="481"/>
      <c r="C23" s="505" t="s">
        <v>699</v>
      </c>
      <c r="D23" s="506" t="str">
        <f>VLOOKUP(C18,overview_of_services!$B$2:$I$88,5,FALSE)</f>
        <v>Staged (low/high) OA ratio / OA flow (time schedule)</v>
      </c>
      <c r="E23" s="499" t="s">
        <v>700</v>
      </c>
      <c r="F23" s="499">
        <v>0</v>
      </c>
      <c r="G23" s="499" t="s">
        <v>700</v>
      </c>
      <c r="H23" s="499" t="s">
        <v>700</v>
      </c>
      <c r="I23" s="499" t="s">
        <v>700</v>
      </c>
      <c r="J23" s="499">
        <v>0</v>
      </c>
      <c r="K23" s="499">
        <v>0</v>
      </c>
      <c r="L23" s="500" t="s">
        <v>708</v>
      </c>
      <c r="M23" s="500" t="s">
        <v>718</v>
      </c>
      <c r="N23" s="501">
        <v>2</v>
      </c>
      <c r="O23" s="502" t="s">
        <v>721</v>
      </c>
      <c r="P23" s="504"/>
      <c r="R23" s="504">
        <f t="shared" si="3"/>
        <v>1</v>
      </c>
      <c r="S23" s="504">
        <f t="shared" si="3"/>
        <v>0</v>
      </c>
      <c r="T23" s="504">
        <f t="shared" si="4"/>
        <v>1</v>
      </c>
      <c r="U23" s="504">
        <f t="shared" si="4"/>
        <v>1</v>
      </c>
      <c r="V23" s="504">
        <f t="shared" si="4"/>
        <v>1</v>
      </c>
      <c r="W23" s="504">
        <f t="shared" si="4"/>
        <v>0</v>
      </c>
      <c r="X23" s="504">
        <f t="shared" si="4"/>
        <v>0</v>
      </c>
    </row>
    <row r="24" spans="1:24" s="503" customFormat="1" ht="35.25" customHeight="1" outlineLevel="1" x14ac:dyDescent="0.5">
      <c r="A24" s="481"/>
      <c r="B24" s="481"/>
      <c r="C24" s="505" t="s">
        <v>703</v>
      </c>
      <c r="D24" s="506" t="str">
        <f>VLOOKUP(C18,overview_of_services!$B$2:$I$88,6,FALSE)</f>
        <v>Staged (low/high) OA ratio / OA flow (presence)</v>
      </c>
      <c r="E24" s="499" t="s">
        <v>700</v>
      </c>
      <c r="F24" s="499">
        <v>0</v>
      </c>
      <c r="G24" s="507" t="s">
        <v>704</v>
      </c>
      <c r="H24" s="507" t="s">
        <v>704</v>
      </c>
      <c r="I24" s="507" t="s">
        <v>704</v>
      </c>
      <c r="J24" s="499">
        <v>0</v>
      </c>
      <c r="K24" s="499">
        <v>0</v>
      </c>
      <c r="L24" s="500" t="s">
        <v>708</v>
      </c>
      <c r="M24" s="500" t="s">
        <v>718</v>
      </c>
      <c r="N24" s="501">
        <v>2</v>
      </c>
      <c r="O24" s="502" t="s">
        <v>721</v>
      </c>
      <c r="P24" s="504"/>
      <c r="R24" s="504">
        <f t="shared" si="3"/>
        <v>1</v>
      </c>
      <c r="S24" s="504">
        <f t="shared" si="3"/>
        <v>0</v>
      </c>
      <c r="T24" s="504">
        <f t="shared" si="4"/>
        <v>2</v>
      </c>
      <c r="U24" s="504">
        <f t="shared" si="4"/>
        <v>2</v>
      </c>
      <c r="V24" s="504">
        <f t="shared" si="4"/>
        <v>2</v>
      </c>
      <c r="W24" s="504">
        <f t="shared" si="4"/>
        <v>0</v>
      </c>
      <c r="X24" s="504">
        <f t="shared" si="4"/>
        <v>0</v>
      </c>
    </row>
    <row r="25" spans="1:24" s="503" customFormat="1" ht="35.25" customHeight="1" outlineLevel="1" x14ac:dyDescent="0.5">
      <c r="A25" s="481"/>
      <c r="B25" s="481"/>
      <c r="C25" s="505" t="s">
        <v>706</v>
      </c>
      <c r="D25" s="506" t="str">
        <f>VLOOKUP(C18,overview_of_services!$B$2:$I$88,7,FALSE)</f>
        <v>Variable control</v>
      </c>
      <c r="E25" s="507" t="s">
        <v>704</v>
      </c>
      <c r="F25" s="499">
        <v>0</v>
      </c>
      <c r="G25" s="507" t="s">
        <v>704</v>
      </c>
      <c r="H25" s="507" t="s">
        <v>704</v>
      </c>
      <c r="I25" s="507" t="s">
        <v>704</v>
      </c>
      <c r="J25" s="499">
        <v>0</v>
      </c>
      <c r="K25" s="499">
        <v>0</v>
      </c>
      <c r="L25" s="500" t="s">
        <v>708</v>
      </c>
      <c r="M25" s="500" t="s">
        <v>718</v>
      </c>
      <c r="N25" s="501">
        <v>3</v>
      </c>
      <c r="O25" s="502" t="s">
        <v>721</v>
      </c>
      <c r="P25" s="504"/>
      <c r="R25" s="504">
        <f t="shared" si="3"/>
        <v>2</v>
      </c>
      <c r="S25" s="504">
        <f t="shared" si="3"/>
        <v>0</v>
      </c>
      <c r="T25" s="504">
        <f t="shared" si="4"/>
        <v>2</v>
      </c>
      <c r="U25" s="504">
        <f t="shared" si="4"/>
        <v>2</v>
      </c>
      <c r="V25" s="504">
        <f t="shared" si="4"/>
        <v>2</v>
      </c>
      <c r="W25" s="504">
        <f t="shared" si="4"/>
        <v>0</v>
      </c>
      <c r="X25" s="504">
        <f t="shared" si="4"/>
        <v>0</v>
      </c>
    </row>
    <row r="26" spans="1:24" s="503" customFormat="1" ht="35.25" customHeight="1" outlineLevel="1" x14ac:dyDescent="0.5">
      <c r="A26" s="481"/>
      <c r="B26" s="481"/>
      <c r="C26" s="505" t="s">
        <v>710</v>
      </c>
      <c r="D26" s="506">
        <f>VLOOKUP(C18,overview_of_services!$B$2:$I$88,8,FALSE)</f>
        <v>0</v>
      </c>
      <c r="E26" s="507"/>
      <c r="F26" s="499"/>
      <c r="G26" s="507"/>
      <c r="H26" s="507"/>
      <c r="I26" s="499"/>
      <c r="J26" s="499"/>
      <c r="K26" s="499"/>
      <c r="L26" s="500"/>
      <c r="M26" s="500"/>
      <c r="N26" s="501"/>
      <c r="O26" s="502"/>
      <c r="P26" s="504"/>
      <c r="R26" s="504">
        <f t="shared" si="3"/>
        <v>0</v>
      </c>
      <c r="S26" s="504">
        <f t="shared" si="3"/>
        <v>0</v>
      </c>
      <c r="T26" s="504">
        <f t="shared" si="4"/>
        <v>0</v>
      </c>
      <c r="U26" s="504">
        <f t="shared" si="4"/>
        <v>0</v>
      </c>
      <c r="V26" s="504">
        <f t="shared" si="4"/>
        <v>0</v>
      </c>
      <c r="W26" s="504">
        <f t="shared" si="4"/>
        <v>0</v>
      </c>
      <c r="X26" s="504">
        <f t="shared" si="4"/>
        <v>0</v>
      </c>
    </row>
    <row r="27" spans="1:24" s="503" customFormat="1" ht="6" customHeight="1" outlineLevel="2" thickBot="1" x14ac:dyDescent="0.4">
      <c r="A27" s="481"/>
      <c r="B27" s="481"/>
      <c r="C27" s="504"/>
      <c r="D27" s="504"/>
      <c r="E27" s="508"/>
      <c r="F27" s="508"/>
      <c r="G27" s="508"/>
      <c r="H27" s="508"/>
      <c r="I27" s="508"/>
      <c r="J27" s="508"/>
      <c r="K27" s="508"/>
      <c r="L27" s="504"/>
      <c r="M27" s="504"/>
      <c r="N27" s="504"/>
      <c r="O27" s="508"/>
      <c r="P27" s="504"/>
    </row>
    <row r="28" spans="1:24" s="503" customFormat="1" ht="30.75" customHeight="1" outlineLevel="2" thickBot="1" x14ac:dyDescent="0.4">
      <c r="A28" s="481"/>
      <c r="B28" s="481"/>
      <c r="C28" s="509"/>
      <c r="D28" s="509" t="s">
        <v>712</v>
      </c>
      <c r="E28" s="510" t="s">
        <v>729</v>
      </c>
      <c r="F28" s="511" t="s">
        <v>729</v>
      </c>
      <c r="G28" s="511" t="s">
        <v>729</v>
      </c>
      <c r="H28" s="511" t="s">
        <v>729</v>
      </c>
      <c r="I28" s="511" t="s">
        <v>729</v>
      </c>
      <c r="J28" s="511" t="s">
        <v>729</v>
      </c>
      <c r="K28" s="511" t="s">
        <v>729</v>
      </c>
      <c r="L28" s="511" t="s">
        <v>729</v>
      </c>
      <c r="M28" s="511" t="s">
        <v>729</v>
      </c>
      <c r="N28" s="511" t="s">
        <v>729</v>
      </c>
      <c r="O28" s="511" t="s">
        <v>729</v>
      </c>
      <c r="P28" s="504"/>
    </row>
    <row r="29" spans="1:24" s="503" customFormat="1" ht="30.75" customHeight="1" outlineLevel="2" thickBot="1" x14ac:dyDescent="0.4">
      <c r="A29" s="481"/>
      <c r="B29" s="481"/>
      <c r="C29" s="509"/>
      <c r="D29" s="509" t="s">
        <v>714</v>
      </c>
      <c r="E29" s="510" t="s">
        <v>30</v>
      </c>
      <c r="F29" s="512"/>
      <c r="G29" s="511"/>
      <c r="H29" s="511"/>
      <c r="I29" s="511"/>
      <c r="J29" s="511"/>
      <c r="K29" s="511"/>
      <c r="L29" s="510"/>
      <c r="M29" s="510"/>
      <c r="N29" s="513"/>
      <c r="O29" s="510"/>
      <c r="P29" s="504"/>
    </row>
    <row r="30" spans="1:24" ht="20.25" customHeight="1" outlineLevel="1" thickBot="1" x14ac:dyDescent="0.4">
      <c r="C30" s="481"/>
      <c r="D30" s="481"/>
      <c r="E30" s="481"/>
      <c r="F30" s="481"/>
      <c r="G30" s="482"/>
      <c r="H30" s="482"/>
      <c r="I30" s="482"/>
      <c r="J30" s="482"/>
      <c r="K30" s="482"/>
      <c r="L30" s="482"/>
      <c r="M30" s="482"/>
      <c r="N30" s="482"/>
      <c r="O30" s="482"/>
      <c r="P30" s="481"/>
    </row>
    <row r="31" spans="1:24" ht="17.25" customHeight="1" thickBot="1" x14ac:dyDescent="0.4">
      <c r="C31" s="483" t="s">
        <v>677</v>
      </c>
      <c r="D31" s="484" t="s">
        <v>678</v>
      </c>
      <c r="E31" s="481"/>
      <c r="F31" s="481"/>
      <c r="G31" s="482"/>
      <c r="H31" s="482"/>
      <c r="I31" s="482"/>
      <c r="J31" s="482"/>
      <c r="K31" s="482"/>
      <c r="L31" s="482"/>
      <c r="M31" s="482"/>
      <c r="N31" s="482"/>
      <c r="O31" s="482"/>
      <c r="P31" s="481"/>
    </row>
    <row r="32" spans="1:24" s="492" customFormat="1" ht="36.75" customHeight="1" thickBot="1" x14ac:dyDescent="0.7">
      <c r="A32" s="481"/>
      <c r="B32" s="486" t="s">
        <v>679</v>
      </c>
      <c r="C32" s="487" t="s">
        <v>239</v>
      </c>
      <c r="D32" s="514" t="str">
        <f>VLOOKUP(C32,overview_of_services!$B$2:$I$88,3,FALSE)</f>
        <v>Air flow or pressure control at the air handler level</v>
      </c>
      <c r="E32" s="489"/>
      <c r="F32" s="490" t="s">
        <v>680</v>
      </c>
      <c r="G32" s="578" t="str">
        <f>VLOOKUP(C32,overview_of_services!$B$2:$I$88,2,FALSE)</f>
        <v>Air flow control</v>
      </c>
      <c r="H32" s="578"/>
      <c r="I32" s="490"/>
      <c r="J32" s="491"/>
      <c r="K32" s="491"/>
      <c r="L32" s="491"/>
      <c r="M32" s="491"/>
      <c r="N32" s="491"/>
      <c r="O32" s="491"/>
      <c r="R32" s="492" t="s">
        <v>681</v>
      </c>
      <c r="S32" s="492">
        <f>ROW()</f>
        <v>32</v>
      </c>
    </row>
    <row r="33" spans="1:24" ht="5.25" customHeight="1" x14ac:dyDescent="0.35">
      <c r="C33" s="493"/>
      <c r="D33" s="493"/>
      <c r="E33" s="493"/>
      <c r="F33" s="493"/>
      <c r="G33" s="493"/>
      <c r="H33" s="493"/>
      <c r="I33" s="493"/>
      <c r="J33" s="493"/>
      <c r="K33" s="493"/>
      <c r="L33" s="493"/>
      <c r="M33" s="493"/>
      <c r="N33" s="493"/>
      <c r="O33" s="494"/>
      <c r="P33" s="481"/>
    </row>
    <row r="34" spans="1:24" ht="20.25" customHeight="1" outlineLevel="1" x14ac:dyDescent="0.35">
      <c r="C34" s="575" t="s">
        <v>682</v>
      </c>
      <c r="D34" s="575"/>
      <c r="E34" s="577" t="s">
        <v>683</v>
      </c>
      <c r="F34" s="577"/>
      <c r="G34" s="577"/>
      <c r="H34" s="577"/>
      <c r="I34" s="577"/>
      <c r="J34" s="577"/>
      <c r="K34" s="577"/>
      <c r="L34" s="573" t="s">
        <v>684</v>
      </c>
      <c r="M34" s="574"/>
      <c r="N34" s="569" t="s">
        <v>685</v>
      </c>
      <c r="O34" s="571" t="s">
        <v>686</v>
      </c>
      <c r="P34" s="481"/>
    </row>
    <row r="35" spans="1:24" ht="36.75" customHeight="1" outlineLevel="1" thickBot="1" x14ac:dyDescent="0.4">
      <c r="C35" s="576"/>
      <c r="D35" s="576"/>
      <c r="E35" s="495" t="s">
        <v>687</v>
      </c>
      <c r="F35" s="495" t="s">
        <v>688</v>
      </c>
      <c r="G35" s="495" t="s">
        <v>689</v>
      </c>
      <c r="H35" s="495" t="s">
        <v>690</v>
      </c>
      <c r="I35" s="495" t="s">
        <v>616</v>
      </c>
      <c r="J35" s="495" t="s">
        <v>691</v>
      </c>
      <c r="K35" s="495" t="s">
        <v>692</v>
      </c>
      <c r="L35" s="496" t="s">
        <v>693</v>
      </c>
      <c r="M35" s="496" t="s">
        <v>694</v>
      </c>
      <c r="N35" s="570"/>
      <c r="O35" s="572"/>
      <c r="P35" s="481"/>
    </row>
    <row r="36" spans="1:24" s="503" customFormat="1" ht="35.25" customHeight="1" outlineLevel="1" thickTop="1" x14ac:dyDescent="0.5">
      <c r="A36" s="481"/>
      <c r="B36" s="481"/>
      <c r="C36" s="497" t="s">
        <v>695</v>
      </c>
      <c r="D36" s="498" t="str">
        <f>VLOOKUP(C32,overview_of_services!$B$2:$I$88,4,FALSE)</f>
        <v>No automatic control</v>
      </c>
      <c r="E36" s="499">
        <v>0</v>
      </c>
      <c r="F36" s="499">
        <v>0</v>
      </c>
      <c r="G36" s="499">
        <v>0</v>
      </c>
      <c r="H36" s="499">
        <v>0</v>
      </c>
      <c r="I36" s="499">
        <v>0</v>
      </c>
      <c r="J36" s="499">
        <v>0</v>
      </c>
      <c r="K36" s="499">
        <v>0</v>
      </c>
      <c r="L36" s="500" t="s">
        <v>696</v>
      </c>
      <c r="M36" s="500" t="s">
        <v>696</v>
      </c>
      <c r="N36" s="501">
        <v>0</v>
      </c>
      <c r="O36" s="502" t="s">
        <v>697</v>
      </c>
      <c r="P36" s="504"/>
      <c r="R36" s="504">
        <f t="shared" ref="R36:S40" si="5">IF(E36=0,0,(IF(E36="+",1,(IF(E36="++",2,(IF(E36="+++",3,(IF(E36="++++",4,(IF(E36="-",-1,(IF(E36="--",-2,(IF(E36="---",-3,(IF(E36="----",-4,"NA")))))))))))))))))</f>
        <v>0</v>
      </c>
      <c r="S36" s="504">
        <f t="shared" si="5"/>
        <v>0</v>
      </c>
      <c r="T36" s="504">
        <f t="shared" ref="T36:X40" si="6">IF(G36=0,0,(IF(G36="+",1,(IF(G36="++",2,(IF(G36="+++",3,(IF(G36="++++",4,(IF(G36="-",-1,(IF(G36="--",-2,(IF(G36="---",-3,(IF(G36="----",-4,"NA")))))))))))))))))</f>
        <v>0</v>
      </c>
      <c r="U36" s="504">
        <f t="shared" si="6"/>
        <v>0</v>
      </c>
      <c r="V36" s="504">
        <f t="shared" si="6"/>
        <v>0</v>
      </c>
      <c r="W36" s="504">
        <f t="shared" si="6"/>
        <v>0</v>
      </c>
      <c r="X36" s="504">
        <f t="shared" si="6"/>
        <v>0</v>
      </c>
    </row>
    <row r="37" spans="1:24" s="503" customFormat="1" ht="35.25" customHeight="1" outlineLevel="1" x14ac:dyDescent="0.5">
      <c r="A37" s="481"/>
      <c r="B37" s="481"/>
      <c r="C37" s="505" t="s">
        <v>699</v>
      </c>
      <c r="D37" s="506" t="str">
        <f>VLOOKUP(C32,overview_of_services!$B$2:$I$88,5,FALSE)</f>
        <v>On off time control</v>
      </c>
      <c r="E37" s="499" t="s">
        <v>700</v>
      </c>
      <c r="F37" s="499">
        <v>0</v>
      </c>
      <c r="G37" s="499">
        <v>0</v>
      </c>
      <c r="H37" s="499">
        <v>0</v>
      </c>
      <c r="I37" s="499">
        <v>0</v>
      </c>
      <c r="J37" s="499">
        <v>0</v>
      </c>
      <c r="K37" s="499">
        <v>0</v>
      </c>
      <c r="L37" s="500" t="s">
        <v>708</v>
      </c>
      <c r="M37" s="500" t="s">
        <v>718</v>
      </c>
      <c r="N37" s="501">
        <v>2</v>
      </c>
      <c r="O37" s="502" t="s">
        <v>768</v>
      </c>
      <c r="P37" s="504"/>
      <c r="R37" s="504">
        <f t="shared" si="5"/>
        <v>1</v>
      </c>
      <c r="S37" s="504">
        <f t="shared" si="5"/>
        <v>0</v>
      </c>
      <c r="T37" s="504">
        <f t="shared" si="6"/>
        <v>0</v>
      </c>
      <c r="U37" s="504">
        <f t="shared" si="6"/>
        <v>0</v>
      </c>
      <c r="V37" s="504">
        <f t="shared" si="6"/>
        <v>0</v>
      </c>
      <c r="W37" s="504">
        <f t="shared" si="6"/>
        <v>0</v>
      </c>
      <c r="X37" s="504">
        <f t="shared" si="6"/>
        <v>0</v>
      </c>
    </row>
    <row r="38" spans="1:24" s="503" customFormat="1" ht="35.25" customHeight="1" outlineLevel="1" x14ac:dyDescent="0.5">
      <c r="A38" s="481"/>
      <c r="B38" s="481"/>
      <c r="C38" s="505" t="s">
        <v>703</v>
      </c>
      <c r="D38" s="506" t="str">
        <f>VLOOKUP(C32,overview_of_services!$B$2:$I$88,6,FALSE)</f>
        <v>Multi-stage control</v>
      </c>
      <c r="E38" s="507" t="s">
        <v>704</v>
      </c>
      <c r="F38" s="499">
        <v>0</v>
      </c>
      <c r="G38" s="499">
        <v>0</v>
      </c>
      <c r="H38" s="499">
        <v>0</v>
      </c>
      <c r="I38" s="499">
        <v>0</v>
      </c>
      <c r="J38" s="499">
        <v>0</v>
      </c>
      <c r="K38" s="499">
        <v>0</v>
      </c>
      <c r="L38" s="500" t="s">
        <v>708</v>
      </c>
      <c r="M38" s="500" t="s">
        <v>718</v>
      </c>
      <c r="N38" s="501">
        <v>2</v>
      </c>
      <c r="O38" s="502" t="s">
        <v>769</v>
      </c>
      <c r="P38" s="504"/>
      <c r="R38" s="504">
        <f t="shared" si="5"/>
        <v>2</v>
      </c>
      <c r="S38" s="504">
        <f t="shared" si="5"/>
        <v>0</v>
      </c>
      <c r="T38" s="504">
        <f t="shared" si="6"/>
        <v>0</v>
      </c>
      <c r="U38" s="504">
        <f t="shared" si="6"/>
        <v>0</v>
      </c>
      <c r="V38" s="504">
        <f t="shared" si="6"/>
        <v>0</v>
      </c>
      <c r="W38" s="504">
        <f t="shared" si="6"/>
        <v>0</v>
      </c>
      <c r="X38" s="504">
        <f t="shared" si="6"/>
        <v>0</v>
      </c>
    </row>
    <row r="39" spans="1:24" s="503" customFormat="1" ht="58" outlineLevel="1" x14ac:dyDescent="0.5">
      <c r="A39" s="481"/>
      <c r="B39" s="481"/>
      <c r="C39" s="505" t="s">
        <v>706</v>
      </c>
      <c r="D39" s="506" t="str">
        <f>VLOOKUP(C32,overview_of_services!$B$2:$I$88,7,FALSE)</f>
        <v>Automatic flow or pressure control (without reset)</v>
      </c>
      <c r="E39" s="507" t="s">
        <v>707</v>
      </c>
      <c r="F39" s="499">
        <v>0</v>
      </c>
      <c r="G39" s="499">
        <v>0</v>
      </c>
      <c r="H39" s="499">
        <v>0</v>
      </c>
      <c r="I39" s="499">
        <v>0</v>
      </c>
      <c r="J39" s="499">
        <v>0</v>
      </c>
      <c r="K39" s="499">
        <v>0</v>
      </c>
      <c r="L39" s="500" t="s">
        <v>708</v>
      </c>
      <c r="M39" s="500" t="s">
        <v>718</v>
      </c>
      <c r="N39" s="501">
        <v>3</v>
      </c>
      <c r="O39" s="502" t="s">
        <v>770</v>
      </c>
      <c r="P39" s="504"/>
      <c r="R39" s="504">
        <f t="shared" si="5"/>
        <v>3</v>
      </c>
      <c r="S39" s="504">
        <f t="shared" si="5"/>
        <v>0</v>
      </c>
      <c r="T39" s="504">
        <f t="shared" si="6"/>
        <v>0</v>
      </c>
      <c r="U39" s="504">
        <f t="shared" si="6"/>
        <v>0</v>
      </c>
      <c r="V39" s="504">
        <f t="shared" si="6"/>
        <v>0</v>
      </c>
      <c r="W39" s="504">
        <f t="shared" si="6"/>
        <v>0</v>
      </c>
      <c r="X39" s="504">
        <f t="shared" si="6"/>
        <v>0</v>
      </c>
    </row>
    <row r="40" spans="1:24" s="503" customFormat="1" ht="58" outlineLevel="1" x14ac:dyDescent="0.5">
      <c r="A40" s="481"/>
      <c r="B40" s="481"/>
      <c r="C40" s="505" t="s">
        <v>710</v>
      </c>
      <c r="D40" s="506" t="str">
        <f>VLOOKUP(C32,overview_of_services!$B$2:$I$88,8,FALSE)</f>
        <v>Automatic flow or pressure control (with reset)</v>
      </c>
      <c r="E40" s="507" t="s">
        <v>707</v>
      </c>
      <c r="F40" s="499">
        <v>0</v>
      </c>
      <c r="G40" s="499">
        <v>0</v>
      </c>
      <c r="H40" s="499">
        <v>0</v>
      </c>
      <c r="I40" s="499">
        <v>0</v>
      </c>
      <c r="J40" s="499">
        <v>0</v>
      </c>
      <c r="K40" s="499">
        <v>0</v>
      </c>
      <c r="L40" s="500" t="s">
        <v>708</v>
      </c>
      <c r="M40" s="500" t="s">
        <v>718</v>
      </c>
      <c r="N40" s="501">
        <v>3</v>
      </c>
      <c r="O40" s="502" t="s">
        <v>770</v>
      </c>
      <c r="P40" s="504"/>
      <c r="R40" s="504">
        <f t="shared" si="5"/>
        <v>3</v>
      </c>
      <c r="S40" s="504">
        <f t="shared" si="5"/>
        <v>0</v>
      </c>
      <c r="T40" s="504">
        <f t="shared" si="6"/>
        <v>0</v>
      </c>
      <c r="U40" s="504">
        <f t="shared" si="6"/>
        <v>0</v>
      </c>
      <c r="V40" s="504">
        <f t="shared" si="6"/>
        <v>0</v>
      </c>
      <c r="W40" s="504">
        <f t="shared" si="6"/>
        <v>0</v>
      </c>
      <c r="X40" s="504">
        <f t="shared" si="6"/>
        <v>0</v>
      </c>
    </row>
    <row r="41" spans="1:24" s="503" customFormat="1" ht="6" customHeight="1" outlineLevel="2" thickBot="1" x14ac:dyDescent="0.4">
      <c r="A41" s="481"/>
      <c r="B41" s="481"/>
      <c r="C41" s="504"/>
      <c r="D41" s="504"/>
      <c r="E41" s="508"/>
      <c r="F41" s="508"/>
      <c r="G41" s="508"/>
      <c r="H41" s="508"/>
      <c r="I41" s="508"/>
      <c r="J41" s="508"/>
      <c r="K41" s="508"/>
      <c r="L41" s="504"/>
      <c r="M41" s="504"/>
      <c r="N41" s="504"/>
      <c r="O41" s="508"/>
      <c r="P41" s="504"/>
    </row>
    <row r="42" spans="1:24" s="503" customFormat="1" ht="30.75" customHeight="1" outlineLevel="2" thickBot="1" x14ac:dyDescent="0.4">
      <c r="A42" s="481"/>
      <c r="B42" s="481"/>
      <c r="C42" s="509"/>
      <c r="D42" s="509" t="s">
        <v>712</v>
      </c>
      <c r="E42" s="510" t="s">
        <v>729</v>
      </c>
      <c r="F42" s="511" t="s">
        <v>729</v>
      </c>
      <c r="G42" s="511" t="s">
        <v>729</v>
      </c>
      <c r="H42" s="511" t="s">
        <v>729</v>
      </c>
      <c r="I42" s="511" t="s">
        <v>729</v>
      </c>
      <c r="J42" s="511" t="s">
        <v>729</v>
      </c>
      <c r="K42" s="511" t="s">
        <v>729</v>
      </c>
      <c r="L42" s="511" t="s">
        <v>729</v>
      </c>
      <c r="M42" s="511" t="s">
        <v>729</v>
      </c>
      <c r="N42" s="511" t="s">
        <v>729</v>
      </c>
      <c r="O42" s="511" t="s">
        <v>729</v>
      </c>
      <c r="P42" s="504"/>
    </row>
    <row r="43" spans="1:24" s="503" customFormat="1" ht="30.75" customHeight="1" outlineLevel="2" thickBot="1" x14ac:dyDescent="0.4">
      <c r="A43" s="481"/>
      <c r="B43" s="481"/>
      <c r="C43" s="509"/>
      <c r="D43" s="509" t="s">
        <v>714</v>
      </c>
      <c r="E43" s="510" t="s">
        <v>30</v>
      </c>
      <c r="F43" s="512"/>
      <c r="G43" s="511"/>
      <c r="H43" s="511"/>
      <c r="I43" s="511"/>
      <c r="J43" s="511"/>
      <c r="K43" s="511"/>
      <c r="L43" s="510"/>
      <c r="M43" s="510"/>
      <c r="N43" s="513"/>
      <c r="O43" s="510"/>
      <c r="P43" s="504"/>
    </row>
    <row r="44" spans="1:24" ht="20.25" customHeight="1" outlineLevel="1" x14ac:dyDescent="0.35">
      <c r="C44" s="481"/>
      <c r="D44" s="481"/>
      <c r="E44" s="481"/>
      <c r="F44" s="481"/>
      <c r="G44" s="482"/>
      <c r="H44" s="482"/>
      <c r="I44" s="482"/>
      <c r="J44" s="482"/>
      <c r="K44" s="482"/>
      <c r="L44" s="482"/>
      <c r="M44" s="482"/>
      <c r="N44" s="482"/>
      <c r="O44" s="482"/>
      <c r="P44" s="481"/>
    </row>
    <row r="45" spans="1:24" ht="20.25" customHeight="1" outlineLevel="1" thickBot="1" x14ac:dyDescent="0.4">
      <c r="C45" s="481"/>
      <c r="D45" s="481"/>
      <c r="E45" s="481"/>
      <c r="F45" s="481"/>
      <c r="G45" s="482"/>
      <c r="H45" s="482"/>
      <c r="I45" s="482"/>
      <c r="J45" s="482"/>
      <c r="K45" s="482"/>
      <c r="L45" s="482"/>
      <c r="M45" s="482"/>
      <c r="N45" s="482"/>
      <c r="O45" s="482"/>
      <c r="P45" s="481"/>
    </row>
    <row r="46" spans="1:24" ht="17.25" customHeight="1" thickBot="1" x14ac:dyDescent="0.4">
      <c r="C46" s="483" t="s">
        <v>677</v>
      </c>
      <c r="D46" s="484" t="s">
        <v>678</v>
      </c>
      <c r="E46" s="481"/>
      <c r="F46" s="481"/>
      <c r="G46" s="482"/>
      <c r="H46" s="482"/>
      <c r="I46" s="482"/>
      <c r="J46" s="482"/>
      <c r="K46" s="482"/>
      <c r="L46" s="482"/>
      <c r="M46" s="482"/>
      <c r="N46" s="482"/>
      <c r="O46" s="482"/>
      <c r="P46" s="481"/>
    </row>
    <row r="47" spans="1:24" s="492" customFormat="1" ht="36.75" customHeight="1" thickBot="1" x14ac:dyDescent="0.7">
      <c r="A47" s="481"/>
      <c r="B47" s="486" t="s">
        <v>679</v>
      </c>
      <c r="C47" s="487" t="s">
        <v>246</v>
      </c>
      <c r="D47" s="514" t="str">
        <f>VLOOKUP(C47,overview_of_services!$B$2:$I$88,3,FALSE)</f>
        <v>Room air temp. control (all-air systems)</v>
      </c>
      <c r="E47" s="489"/>
      <c r="F47" s="490" t="s">
        <v>680</v>
      </c>
      <c r="G47" s="578" t="str">
        <f>VLOOKUP(C47,overview_of_services!$B$2:$I$88,2,FALSE)</f>
        <v>Air temperature control</v>
      </c>
      <c r="H47" s="578"/>
      <c r="I47" s="490"/>
      <c r="J47" s="491"/>
      <c r="K47" s="491"/>
      <c r="L47" s="491"/>
      <c r="M47" s="491"/>
      <c r="N47" s="491"/>
      <c r="O47" s="491"/>
      <c r="R47" s="492" t="s">
        <v>681</v>
      </c>
      <c r="S47" s="492">
        <f>ROW()</f>
        <v>47</v>
      </c>
    </row>
    <row r="48" spans="1:24" ht="5.25" customHeight="1" x14ac:dyDescent="0.35">
      <c r="C48" s="493"/>
      <c r="D48" s="493"/>
      <c r="E48" s="493"/>
      <c r="F48" s="493"/>
      <c r="G48" s="493"/>
      <c r="H48" s="493"/>
      <c r="I48" s="493"/>
      <c r="J48" s="493"/>
      <c r="K48" s="493"/>
      <c r="L48" s="493"/>
      <c r="M48" s="493"/>
      <c r="N48" s="493"/>
      <c r="O48" s="494"/>
      <c r="P48" s="481"/>
    </row>
    <row r="49" spans="1:24" ht="20.25" customHeight="1" outlineLevel="1" x14ac:dyDescent="0.35">
      <c r="C49" s="575" t="s">
        <v>682</v>
      </c>
      <c r="D49" s="575"/>
      <c r="E49" s="577" t="s">
        <v>683</v>
      </c>
      <c r="F49" s="577"/>
      <c r="G49" s="577"/>
      <c r="H49" s="577"/>
      <c r="I49" s="577"/>
      <c r="J49" s="577"/>
      <c r="K49" s="577"/>
      <c r="L49" s="573" t="s">
        <v>684</v>
      </c>
      <c r="M49" s="574"/>
      <c r="N49" s="569" t="s">
        <v>685</v>
      </c>
      <c r="O49" s="571" t="s">
        <v>686</v>
      </c>
      <c r="P49" s="481"/>
    </row>
    <row r="50" spans="1:24" ht="36.75" customHeight="1" outlineLevel="1" thickBot="1" x14ac:dyDescent="0.4">
      <c r="C50" s="576"/>
      <c r="D50" s="576"/>
      <c r="E50" s="495" t="s">
        <v>687</v>
      </c>
      <c r="F50" s="495" t="s">
        <v>688</v>
      </c>
      <c r="G50" s="495" t="s">
        <v>689</v>
      </c>
      <c r="H50" s="495" t="s">
        <v>690</v>
      </c>
      <c r="I50" s="495" t="s">
        <v>616</v>
      </c>
      <c r="J50" s="495" t="s">
        <v>691</v>
      </c>
      <c r="K50" s="495" t="s">
        <v>692</v>
      </c>
      <c r="L50" s="496" t="s">
        <v>693</v>
      </c>
      <c r="M50" s="496" t="s">
        <v>694</v>
      </c>
      <c r="N50" s="570"/>
      <c r="O50" s="572"/>
      <c r="P50" s="481"/>
    </row>
    <row r="51" spans="1:24" s="503" customFormat="1" ht="35.25" customHeight="1" outlineLevel="1" thickTop="1" x14ac:dyDescent="0.5">
      <c r="A51" s="481"/>
      <c r="B51" s="481"/>
      <c r="C51" s="497" t="s">
        <v>695</v>
      </c>
      <c r="D51" s="498" t="str">
        <f>VLOOKUP(C47,overview_of_services!$B$2:$I$88,4,FALSE)</f>
        <v>on-off capacity control</v>
      </c>
      <c r="E51" s="499">
        <v>0</v>
      </c>
      <c r="F51" s="499">
        <v>0</v>
      </c>
      <c r="G51" s="499">
        <v>0</v>
      </c>
      <c r="H51" s="499">
        <v>0</v>
      </c>
      <c r="I51" s="499">
        <v>0</v>
      </c>
      <c r="J51" s="499">
        <v>0</v>
      </c>
      <c r="K51" s="499">
        <v>0</v>
      </c>
      <c r="L51" s="500" t="s">
        <v>696</v>
      </c>
      <c r="M51" s="500" t="s">
        <v>696</v>
      </c>
      <c r="N51" s="501">
        <v>0</v>
      </c>
      <c r="O51" s="502" t="s">
        <v>721</v>
      </c>
      <c r="P51" s="504"/>
      <c r="R51" s="504">
        <f t="shared" ref="R51:S55" si="7">IF(E51=0,0,(IF(E51="+",1,(IF(E51="++",2,(IF(E51="+++",3,(IF(E51="++++",4,(IF(E51="-",-1,(IF(E51="--",-2,(IF(E51="---",-3,(IF(E51="----",-4,"NA")))))))))))))))))</f>
        <v>0</v>
      </c>
      <c r="S51" s="504">
        <f t="shared" si="7"/>
        <v>0</v>
      </c>
      <c r="T51" s="504">
        <f t="shared" ref="T51:X55" si="8">IF(G51=0,0,(IF(G51="+",1,(IF(G51="++",2,(IF(G51="+++",3,(IF(G51="++++",4,(IF(G51="-",-1,(IF(G51="--",-2,(IF(G51="---",-3,(IF(G51="----",-4,"NA")))))))))))))))))</f>
        <v>0</v>
      </c>
      <c r="U51" s="504">
        <f t="shared" si="8"/>
        <v>0</v>
      </c>
      <c r="V51" s="504">
        <f t="shared" si="8"/>
        <v>0</v>
      </c>
      <c r="W51" s="504">
        <f t="shared" si="8"/>
        <v>0</v>
      </c>
      <c r="X51" s="504">
        <f t="shared" si="8"/>
        <v>0</v>
      </c>
    </row>
    <row r="52" spans="1:24" s="503" customFormat="1" ht="35.25" customHeight="1" outlineLevel="1" x14ac:dyDescent="0.5">
      <c r="A52" s="481"/>
      <c r="B52" s="481"/>
      <c r="C52" s="505" t="s">
        <v>699</v>
      </c>
      <c r="D52" s="506" t="str">
        <f>VLOOKUP(C47,overview_of_services!$B$2:$I$88,5,FALSE)</f>
        <v>variable capacity control</v>
      </c>
      <c r="E52" s="499" t="s">
        <v>700</v>
      </c>
      <c r="F52" s="499">
        <v>0</v>
      </c>
      <c r="G52" s="499" t="s">
        <v>700</v>
      </c>
      <c r="H52" s="499" t="s">
        <v>700</v>
      </c>
      <c r="I52" s="499" t="s">
        <v>700</v>
      </c>
      <c r="J52" s="499">
        <v>0</v>
      </c>
      <c r="K52" s="499">
        <v>0</v>
      </c>
      <c r="L52" s="500" t="s">
        <v>708</v>
      </c>
      <c r="M52" s="500" t="s">
        <v>718</v>
      </c>
      <c r="N52" s="501">
        <v>1</v>
      </c>
      <c r="O52" s="502" t="s">
        <v>721</v>
      </c>
      <c r="P52" s="504"/>
      <c r="R52" s="504">
        <f t="shared" si="7"/>
        <v>1</v>
      </c>
      <c r="S52" s="504">
        <f t="shared" si="7"/>
        <v>0</v>
      </c>
      <c r="T52" s="504">
        <f t="shared" si="8"/>
        <v>1</v>
      </c>
      <c r="U52" s="504">
        <f t="shared" si="8"/>
        <v>1</v>
      </c>
      <c r="V52" s="504">
        <f t="shared" si="8"/>
        <v>1</v>
      </c>
      <c r="W52" s="504">
        <f t="shared" si="8"/>
        <v>0</v>
      </c>
      <c r="X52" s="504">
        <f t="shared" si="8"/>
        <v>0</v>
      </c>
    </row>
    <row r="53" spans="1:24" s="503" customFormat="1" ht="35.25" customHeight="1" outlineLevel="1" x14ac:dyDescent="0.5">
      <c r="A53" s="481"/>
      <c r="B53" s="481"/>
      <c r="C53" s="505" t="s">
        <v>703</v>
      </c>
      <c r="D53" s="506" t="str">
        <f>VLOOKUP(C47,overview_of_services!$B$2:$I$88,6,FALSE)</f>
        <v>Demand control</v>
      </c>
      <c r="E53" s="507" t="s">
        <v>704</v>
      </c>
      <c r="F53" s="499">
        <v>0</v>
      </c>
      <c r="G53" s="499" t="s">
        <v>700</v>
      </c>
      <c r="H53" s="507" t="s">
        <v>704</v>
      </c>
      <c r="I53" s="507" t="s">
        <v>704</v>
      </c>
      <c r="J53" s="499">
        <v>0</v>
      </c>
      <c r="K53" s="499">
        <v>0</v>
      </c>
      <c r="L53" s="500" t="s">
        <v>708</v>
      </c>
      <c r="M53" s="500" t="s">
        <v>718</v>
      </c>
      <c r="N53" s="501">
        <v>2</v>
      </c>
      <c r="O53" s="502" t="s">
        <v>721</v>
      </c>
      <c r="P53" s="504"/>
      <c r="R53" s="504">
        <f t="shared" si="7"/>
        <v>2</v>
      </c>
      <c r="S53" s="504">
        <f t="shared" si="7"/>
        <v>0</v>
      </c>
      <c r="T53" s="504">
        <f t="shared" si="8"/>
        <v>1</v>
      </c>
      <c r="U53" s="504">
        <f t="shared" si="8"/>
        <v>2</v>
      </c>
      <c r="V53" s="504">
        <f t="shared" si="8"/>
        <v>2</v>
      </c>
      <c r="W53" s="504">
        <f t="shared" si="8"/>
        <v>0</v>
      </c>
      <c r="X53" s="504">
        <f t="shared" si="8"/>
        <v>0</v>
      </c>
    </row>
    <row r="54" spans="1:24" s="503" customFormat="1" ht="35.25" customHeight="1" outlineLevel="1" x14ac:dyDescent="0.5">
      <c r="A54" s="481"/>
      <c r="B54" s="481"/>
      <c r="C54" s="505" t="s">
        <v>706</v>
      </c>
      <c r="D54" s="506">
        <f>VLOOKUP(C47,overview_of_services!$B$2:$I$88,7,FALSE)</f>
        <v>0</v>
      </c>
      <c r="E54" s="499"/>
      <c r="F54" s="499"/>
      <c r="G54" s="499"/>
      <c r="H54" s="499"/>
      <c r="I54" s="499"/>
      <c r="J54" s="499"/>
      <c r="K54" s="499"/>
      <c r="L54" s="500" t="s">
        <v>721</v>
      </c>
      <c r="M54" s="500"/>
      <c r="N54" s="501" t="s">
        <v>721</v>
      </c>
      <c r="O54" s="502" t="s">
        <v>721</v>
      </c>
      <c r="P54" s="504"/>
      <c r="R54" s="504">
        <f t="shared" si="7"/>
        <v>0</v>
      </c>
      <c r="S54" s="504">
        <f t="shared" si="7"/>
        <v>0</v>
      </c>
      <c r="T54" s="504">
        <f t="shared" si="8"/>
        <v>0</v>
      </c>
      <c r="U54" s="504">
        <f t="shared" si="8"/>
        <v>0</v>
      </c>
      <c r="V54" s="504">
        <f t="shared" si="8"/>
        <v>0</v>
      </c>
      <c r="W54" s="504">
        <f t="shared" si="8"/>
        <v>0</v>
      </c>
      <c r="X54" s="504">
        <f t="shared" si="8"/>
        <v>0</v>
      </c>
    </row>
    <row r="55" spans="1:24" s="503" customFormat="1" ht="35.25" customHeight="1" outlineLevel="1" x14ac:dyDescent="0.5">
      <c r="A55" s="481"/>
      <c r="B55" s="481"/>
      <c r="C55" s="505" t="s">
        <v>710</v>
      </c>
      <c r="D55" s="506">
        <f>VLOOKUP(C47,overview_of_services!$B$2:$I$88,8,FALSE)</f>
        <v>0</v>
      </c>
      <c r="E55" s="507"/>
      <c r="F55" s="499"/>
      <c r="G55" s="507"/>
      <c r="H55" s="507"/>
      <c r="I55" s="499"/>
      <c r="J55" s="499"/>
      <c r="K55" s="499"/>
      <c r="L55" s="500"/>
      <c r="M55" s="500"/>
      <c r="N55" s="501"/>
      <c r="O55" s="502"/>
      <c r="P55" s="504"/>
      <c r="R55" s="504">
        <f t="shared" si="7"/>
        <v>0</v>
      </c>
      <c r="S55" s="504">
        <f t="shared" si="7"/>
        <v>0</v>
      </c>
      <c r="T55" s="504">
        <f t="shared" si="8"/>
        <v>0</v>
      </c>
      <c r="U55" s="504">
        <f t="shared" si="8"/>
        <v>0</v>
      </c>
      <c r="V55" s="504">
        <f t="shared" si="8"/>
        <v>0</v>
      </c>
      <c r="W55" s="504">
        <f t="shared" si="8"/>
        <v>0</v>
      </c>
      <c r="X55" s="504">
        <f t="shared" si="8"/>
        <v>0</v>
      </c>
    </row>
    <row r="56" spans="1:24" s="503" customFormat="1" ht="6" customHeight="1" outlineLevel="2" thickBot="1" x14ac:dyDescent="0.4">
      <c r="A56" s="481"/>
      <c r="B56" s="481"/>
      <c r="C56" s="504"/>
      <c r="D56" s="504"/>
      <c r="E56" s="508"/>
      <c r="F56" s="508"/>
      <c r="G56" s="508"/>
      <c r="H56" s="508"/>
      <c r="I56" s="508"/>
      <c r="J56" s="508"/>
      <c r="K56" s="508"/>
      <c r="L56" s="504"/>
      <c r="M56" s="504"/>
      <c r="N56" s="504"/>
      <c r="O56" s="508"/>
      <c r="P56" s="504"/>
    </row>
    <row r="57" spans="1:24" s="503" customFormat="1" ht="30.75" customHeight="1" outlineLevel="2" thickBot="1" x14ac:dyDescent="0.4">
      <c r="A57" s="481"/>
      <c r="B57" s="481"/>
      <c r="C57" s="509"/>
      <c r="D57" s="509" t="s">
        <v>712</v>
      </c>
      <c r="E57" s="510" t="s">
        <v>729</v>
      </c>
      <c r="F57" s="511" t="s">
        <v>729</v>
      </c>
      <c r="G57" s="511" t="s">
        <v>729</v>
      </c>
      <c r="H57" s="511" t="s">
        <v>729</v>
      </c>
      <c r="I57" s="511" t="s">
        <v>729</v>
      </c>
      <c r="J57" s="511" t="s">
        <v>729</v>
      </c>
      <c r="K57" s="511" t="s">
        <v>729</v>
      </c>
      <c r="L57" s="511" t="s">
        <v>729</v>
      </c>
      <c r="M57" s="511" t="s">
        <v>729</v>
      </c>
      <c r="N57" s="511" t="s">
        <v>729</v>
      </c>
      <c r="O57" s="511" t="s">
        <v>729</v>
      </c>
      <c r="P57" s="504"/>
    </row>
    <row r="58" spans="1:24" s="503" customFormat="1" ht="30.75" customHeight="1" outlineLevel="2" thickBot="1" x14ac:dyDescent="0.4">
      <c r="A58" s="481"/>
      <c r="B58" s="481"/>
      <c r="C58" s="509"/>
      <c r="D58" s="509" t="s">
        <v>714</v>
      </c>
      <c r="E58" s="510" t="s">
        <v>30</v>
      </c>
      <c r="F58" s="512"/>
      <c r="G58" s="511"/>
      <c r="H58" s="511"/>
      <c r="I58" s="511"/>
      <c r="J58" s="511"/>
      <c r="K58" s="511"/>
      <c r="L58" s="510"/>
      <c r="M58" s="510"/>
      <c r="N58" s="513"/>
      <c r="O58" s="510"/>
      <c r="P58" s="504"/>
    </row>
    <row r="59" spans="1:24" ht="20.25" customHeight="1" outlineLevel="1" thickBot="1" x14ac:dyDescent="0.4">
      <c r="C59" s="481"/>
      <c r="D59" s="481"/>
      <c r="E59" s="481"/>
      <c r="F59" s="481"/>
      <c r="G59" s="482"/>
      <c r="H59" s="482"/>
      <c r="I59" s="482"/>
      <c r="J59" s="482"/>
      <c r="K59" s="482"/>
      <c r="L59" s="482"/>
      <c r="M59" s="482"/>
      <c r="N59" s="482"/>
      <c r="O59" s="482"/>
      <c r="P59" s="481"/>
    </row>
    <row r="60" spans="1:24" ht="17.25" customHeight="1" thickBot="1" x14ac:dyDescent="0.4">
      <c r="C60" s="483" t="s">
        <v>677</v>
      </c>
      <c r="D60" s="484" t="s">
        <v>678</v>
      </c>
      <c r="E60" s="481"/>
      <c r="F60" s="481"/>
      <c r="G60" s="482"/>
      <c r="H60" s="482"/>
      <c r="I60" s="482"/>
      <c r="J60" s="482"/>
      <c r="K60" s="482"/>
      <c r="L60" s="482"/>
      <c r="M60" s="482"/>
      <c r="N60" s="482"/>
      <c r="O60" s="482"/>
      <c r="P60" s="481"/>
    </row>
    <row r="61" spans="1:24" s="492" customFormat="1" ht="36.75" customHeight="1" thickBot="1" x14ac:dyDescent="0.7">
      <c r="A61" s="481"/>
      <c r="B61" s="486" t="s">
        <v>679</v>
      </c>
      <c r="C61" s="487" t="s">
        <v>253</v>
      </c>
      <c r="D61" s="514" t="str">
        <f>VLOOKUP(C61,overview_of_services!$B$2:$I$88,3,FALSE)</f>
        <v>Room air temp. control (Combined air-water systems)</v>
      </c>
      <c r="E61" s="489"/>
      <c r="F61" s="490" t="s">
        <v>680</v>
      </c>
      <c r="G61" s="578" t="str">
        <f>VLOOKUP(C61,overview_of_services!$B$2:$I$88,2,FALSE)</f>
        <v>Air temperature control</v>
      </c>
      <c r="H61" s="578"/>
      <c r="I61" s="490"/>
      <c r="J61" s="491"/>
      <c r="K61" s="491"/>
      <c r="L61" s="491"/>
      <c r="M61" s="491"/>
      <c r="N61" s="491"/>
      <c r="O61" s="491"/>
      <c r="R61" s="492" t="s">
        <v>681</v>
      </c>
      <c r="S61" s="492">
        <f>ROW()</f>
        <v>61</v>
      </c>
    </row>
    <row r="62" spans="1:24" ht="5.25" customHeight="1" x14ac:dyDescent="0.35">
      <c r="C62" s="493"/>
      <c r="D62" s="493"/>
      <c r="E62" s="493"/>
      <c r="F62" s="493"/>
      <c r="G62" s="493"/>
      <c r="H62" s="493"/>
      <c r="I62" s="493"/>
      <c r="J62" s="493"/>
      <c r="K62" s="493"/>
      <c r="L62" s="493"/>
      <c r="M62" s="493"/>
      <c r="N62" s="493"/>
      <c r="O62" s="494"/>
      <c r="P62" s="481"/>
    </row>
    <row r="63" spans="1:24" ht="20.25" customHeight="1" outlineLevel="1" x14ac:dyDescent="0.35">
      <c r="C63" s="575" t="s">
        <v>682</v>
      </c>
      <c r="D63" s="575"/>
      <c r="E63" s="577" t="s">
        <v>683</v>
      </c>
      <c r="F63" s="577"/>
      <c r="G63" s="577"/>
      <c r="H63" s="577"/>
      <c r="I63" s="577"/>
      <c r="J63" s="577"/>
      <c r="K63" s="577"/>
      <c r="L63" s="573" t="s">
        <v>684</v>
      </c>
      <c r="M63" s="574"/>
      <c r="N63" s="569" t="s">
        <v>685</v>
      </c>
      <c r="O63" s="571" t="s">
        <v>686</v>
      </c>
      <c r="P63" s="481"/>
    </row>
    <row r="64" spans="1:24" ht="36.75" customHeight="1" outlineLevel="1" thickBot="1" x14ac:dyDescent="0.4">
      <c r="C64" s="576"/>
      <c r="D64" s="576"/>
      <c r="E64" s="495" t="s">
        <v>687</v>
      </c>
      <c r="F64" s="495" t="s">
        <v>688</v>
      </c>
      <c r="G64" s="495" t="s">
        <v>689</v>
      </c>
      <c r="H64" s="495" t="s">
        <v>690</v>
      </c>
      <c r="I64" s="495" t="s">
        <v>616</v>
      </c>
      <c r="J64" s="495" t="s">
        <v>691</v>
      </c>
      <c r="K64" s="495" t="s">
        <v>692</v>
      </c>
      <c r="L64" s="496" t="s">
        <v>693</v>
      </c>
      <c r="M64" s="496" t="s">
        <v>694</v>
      </c>
      <c r="N64" s="570"/>
      <c r="O64" s="572"/>
      <c r="P64" s="481"/>
    </row>
    <row r="65" spans="1:24" s="503" customFormat="1" ht="35.25" customHeight="1" outlineLevel="1" thickTop="1" x14ac:dyDescent="0.5">
      <c r="A65" s="481"/>
      <c r="B65" s="481"/>
      <c r="C65" s="497" t="s">
        <v>695</v>
      </c>
      <c r="D65" s="498" t="str">
        <f>VLOOKUP(C61,overview_of_services!$B$2:$I$88,4,FALSE)</f>
        <v>No coordination</v>
      </c>
      <c r="E65" s="499">
        <v>0</v>
      </c>
      <c r="F65" s="499">
        <v>0</v>
      </c>
      <c r="G65" s="499">
        <v>0</v>
      </c>
      <c r="H65" s="499">
        <v>0</v>
      </c>
      <c r="I65" s="499">
        <v>0</v>
      </c>
      <c r="J65" s="499">
        <v>0</v>
      </c>
      <c r="K65" s="499">
        <v>0</v>
      </c>
      <c r="L65" s="500" t="s">
        <v>696</v>
      </c>
      <c r="M65" s="500" t="s">
        <v>696</v>
      </c>
      <c r="N65" s="501">
        <v>0</v>
      </c>
      <c r="O65" s="502" t="s">
        <v>721</v>
      </c>
      <c r="P65" s="504"/>
      <c r="R65" s="504">
        <f t="shared" ref="R65:S69" si="9">IF(E65=0,0,(IF(E65="+",1,(IF(E65="++",2,(IF(E65="+++",3,(IF(E65="++++",4,(IF(E65="-",-1,(IF(E65="--",-2,(IF(E65="---",-3,(IF(E65="----",-4,"NA")))))))))))))))))</f>
        <v>0</v>
      </c>
      <c r="S65" s="504">
        <f t="shared" si="9"/>
        <v>0</v>
      </c>
      <c r="T65" s="504">
        <f t="shared" ref="T65:X69" si="10">IF(G65=0,0,(IF(G65="+",1,(IF(G65="++",2,(IF(G65="+++",3,(IF(G65="++++",4,(IF(G65="-",-1,(IF(G65="--",-2,(IF(G65="---",-3,(IF(G65="----",-4,"NA")))))))))))))))))</f>
        <v>0</v>
      </c>
      <c r="U65" s="504">
        <f t="shared" si="10"/>
        <v>0</v>
      </c>
      <c r="V65" s="504">
        <f t="shared" si="10"/>
        <v>0</v>
      </c>
      <c r="W65" s="504">
        <f t="shared" si="10"/>
        <v>0</v>
      </c>
      <c r="X65" s="504">
        <f t="shared" si="10"/>
        <v>0</v>
      </c>
    </row>
    <row r="66" spans="1:24" s="503" customFormat="1" ht="35.25" customHeight="1" outlineLevel="1" x14ac:dyDescent="0.5">
      <c r="A66" s="481"/>
      <c r="B66" s="481"/>
      <c r="C66" s="505" t="s">
        <v>699</v>
      </c>
      <c r="D66" s="506" t="str">
        <f>VLOOKUP(C61,overview_of_services!$B$2:$I$88,5,FALSE)</f>
        <v>Coordination</v>
      </c>
      <c r="E66" s="499" t="s">
        <v>700</v>
      </c>
      <c r="F66" s="499">
        <v>0</v>
      </c>
      <c r="G66" s="499" t="s">
        <v>700</v>
      </c>
      <c r="H66" s="499" t="s">
        <v>700</v>
      </c>
      <c r="I66" s="499" t="s">
        <v>700</v>
      </c>
      <c r="J66" s="499">
        <v>0</v>
      </c>
      <c r="K66" s="499">
        <v>0</v>
      </c>
      <c r="L66" s="500" t="s">
        <v>708</v>
      </c>
      <c r="M66" s="500" t="s">
        <v>718</v>
      </c>
      <c r="N66" s="501">
        <v>2</v>
      </c>
      <c r="O66" s="502" t="s">
        <v>721</v>
      </c>
      <c r="P66" s="504"/>
      <c r="R66" s="504">
        <f t="shared" si="9"/>
        <v>1</v>
      </c>
      <c r="S66" s="504">
        <f t="shared" si="9"/>
        <v>0</v>
      </c>
      <c r="T66" s="504">
        <f t="shared" si="10"/>
        <v>1</v>
      </c>
      <c r="U66" s="504">
        <f t="shared" si="10"/>
        <v>1</v>
      </c>
      <c r="V66" s="504">
        <f t="shared" si="10"/>
        <v>1</v>
      </c>
      <c r="W66" s="504">
        <f t="shared" si="10"/>
        <v>0</v>
      </c>
      <c r="X66" s="504">
        <f t="shared" si="10"/>
        <v>0</v>
      </c>
    </row>
    <row r="67" spans="1:24" s="503" customFormat="1" ht="35.25" customHeight="1" outlineLevel="1" x14ac:dyDescent="0.5">
      <c r="A67" s="481"/>
      <c r="B67" s="481"/>
      <c r="C67" s="505" t="s">
        <v>703</v>
      </c>
      <c r="D67" s="506">
        <f>VLOOKUP(C61,overview_of_services!$B$2:$I$88,6,FALSE)</f>
        <v>0</v>
      </c>
      <c r="E67" s="499"/>
      <c r="F67" s="499"/>
      <c r="G67" s="499"/>
      <c r="H67" s="499"/>
      <c r="I67" s="499"/>
      <c r="J67" s="499"/>
      <c r="K67" s="499"/>
      <c r="L67" s="500" t="s">
        <v>721</v>
      </c>
      <c r="M67" s="500"/>
      <c r="N67" s="501" t="s">
        <v>721</v>
      </c>
      <c r="O67" s="502" t="s">
        <v>721</v>
      </c>
      <c r="P67" s="504"/>
      <c r="R67" s="504">
        <f t="shared" si="9"/>
        <v>0</v>
      </c>
      <c r="S67" s="504">
        <f t="shared" si="9"/>
        <v>0</v>
      </c>
      <c r="T67" s="504">
        <f t="shared" si="10"/>
        <v>0</v>
      </c>
      <c r="U67" s="504">
        <f t="shared" si="10"/>
        <v>0</v>
      </c>
      <c r="V67" s="504">
        <f t="shared" si="10"/>
        <v>0</v>
      </c>
      <c r="W67" s="504">
        <f t="shared" si="10"/>
        <v>0</v>
      </c>
      <c r="X67" s="504">
        <f t="shared" si="10"/>
        <v>0</v>
      </c>
    </row>
    <row r="68" spans="1:24" s="503" customFormat="1" ht="35.25" customHeight="1" outlineLevel="1" x14ac:dyDescent="0.5">
      <c r="A68" s="481"/>
      <c r="B68" s="481"/>
      <c r="C68" s="505" t="s">
        <v>706</v>
      </c>
      <c r="D68" s="506">
        <f>VLOOKUP(C61,overview_of_services!$B$2:$I$88,7,FALSE)</f>
        <v>0</v>
      </c>
      <c r="E68" s="499"/>
      <c r="F68" s="499"/>
      <c r="G68" s="499"/>
      <c r="H68" s="499"/>
      <c r="I68" s="499"/>
      <c r="J68" s="499"/>
      <c r="K68" s="499"/>
      <c r="L68" s="500" t="s">
        <v>721</v>
      </c>
      <c r="M68" s="500"/>
      <c r="N68" s="501" t="s">
        <v>721</v>
      </c>
      <c r="O68" s="502" t="s">
        <v>721</v>
      </c>
      <c r="P68" s="504"/>
      <c r="R68" s="504">
        <f t="shared" si="9"/>
        <v>0</v>
      </c>
      <c r="S68" s="504">
        <f t="shared" si="9"/>
        <v>0</v>
      </c>
      <c r="T68" s="504">
        <f t="shared" si="10"/>
        <v>0</v>
      </c>
      <c r="U68" s="504">
        <f t="shared" si="10"/>
        <v>0</v>
      </c>
      <c r="V68" s="504">
        <f t="shared" si="10"/>
        <v>0</v>
      </c>
      <c r="W68" s="504">
        <f t="shared" si="10"/>
        <v>0</v>
      </c>
      <c r="X68" s="504">
        <f t="shared" si="10"/>
        <v>0</v>
      </c>
    </row>
    <row r="69" spans="1:24" s="503" customFormat="1" ht="35.25" customHeight="1" outlineLevel="1" x14ac:dyDescent="0.5">
      <c r="A69" s="481"/>
      <c r="B69" s="481"/>
      <c r="C69" s="505" t="s">
        <v>710</v>
      </c>
      <c r="D69" s="506">
        <f>VLOOKUP(C61,overview_of_services!$B$2:$I$88,8,FALSE)</f>
        <v>0</v>
      </c>
      <c r="E69" s="507"/>
      <c r="F69" s="499"/>
      <c r="G69" s="507"/>
      <c r="H69" s="507"/>
      <c r="I69" s="499"/>
      <c r="J69" s="499"/>
      <c r="K69" s="499"/>
      <c r="L69" s="500"/>
      <c r="M69" s="500"/>
      <c r="N69" s="501"/>
      <c r="O69" s="502"/>
      <c r="P69" s="504"/>
      <c r="R69" s="504">
        <f t="shared" si="9"/>
        <v>0</v>
      </c>
      <c r="S69" s="504">
        <f t="shared" si="9"/>
        <v>0</v>
      </c>
      <c r="T69" s="504">
        <f t="shared" si="10"/>
        <v>0</v>
      </c>
      <c r="U69" s="504">
        <f t="shared" si="10"/>
        <v>0</v>
      </c>
      <c r="V69" s="504">
        <f t="shared" si="10"/>
        <v>0</v>
      </c>
      <c r="W69" s="504">
        <f t="shared" si="10"/>
        <v>0</v>
      </c>
      <c r="X69" s="504">
        <f t="shared" si="10"/>
        <v>0</v>
      </c>
    </row>
    <row r="70" spans="1:24" s="503" customFormat="1" ht="6" customHeight="1" outlineLevel="2" thickBot="1" x14ac:dyDescent="0.4">
      <c r="A70" s="481"/>
      <c r="B70" s="481"/>
      <c r="C70" s="504"/>
      <c r="D70" s="504"/>
      <c r="E70" s="508"/>
      <c r="F70" s="508"/>
      <c r="G70" s="508"/>
      <c r="H70" s="508"/>
      <c r="I70" s="508"/>
      <c r="J70" s="508"/>
      <c r="K70" s="508"/>
      <c r="L70" s="504"/>
      <c r="M70" s="504"/>
      <c r="N70" s="504"/>
      <c r="O70" s="508"/>
      <c r="P70" s="504"/>
    </row>
    <row r="71" spans="1:24" s="503" customFormat="1" ht="30.75" customHeight="1" outlineLevel="2" thickBot="1" x14ac:dyDescent="0.4">
      <c r="A71" s="481"/>
      <c r="B71" s="481"/>
      <c r="C71" s="509"/>
      <c r="D71" s="509" t="s">
        <v>712</v>
      </c>
      <c r="E71" s="510" t="s">
        <v>729</v>
      </c>
      <c r="F71" s="511" t="s">
        <v>729</v>
      </c>
      <c r="G71" s="511" t="s">
        <v>729</v>
      </c>
      <c r="H71" s="511" t="s">
        <v>729</v>
      </c>
      <c r="I71" s="511" t="s">
        <v>729</v>
      </c>
      <c r="J71" s="511" t="s">
        <v>729</v>
      </c>
      <c r="K71" s="511" t="s">
        <v>729</v>
      </c>
      <c r="L71" s="511" t="s">
        <v>729</v>
      </c>
      <c r="M71" s="511" t="s">
        <v>729</v>
      </c>
      <c r="N71" s="511" t="s">
        <v>729</v>
      </c>
      <c r="O71" s="511" t="s">
        <v>729</v>
      </c>
      <c r="P71" s="504"/>
    </row>
    <row r="72" spans="1:24" s="503" customFormat="1" ht="30.75" customHeight="1" outlineLevel="2" thickBot="1" x14ac:dyDescent="0.4">
      <c r="A72" s="481"/>
      <c r="B72" s="481"/>
      <c r="C72" s="509"/>
      <c r="D72" s="509" t="s">
        <v>714</v>
      </c>
      <c r="E72" s="510" t="s">
        <v>30</v>
      </c>
      <c r="F72" s="512"/>
      <c r="G72" s="511"/>
      <c r="H72" s="511"/>
      <c r="I72" s="511"/>
      <c r="J72" s="511"/>
      <c r="K72" s="511"/>
      <c r="L72" s="510"/>
      <c r="M72" s="510"/>
      <c r="N72" s="513"/>
      <c r="O72" s="510"/>
      <c r="P72" s="504"/>
    </row>
    <row r="73" spans="1:24" ht="20.25" customHeight="1" outlineLevel="1" thickBot="1" x14ac:dyDescent="0.4">
      <c r="C73" s="481"/>
      <c r="D73" s="481"/>
      <c r="E73" s="481"/>
      <c r="F73" s="481"/>
      <c r="G73" s="482"/>
      <c r="H73" s="482"/>
      <c r="I73" s="482"/>
      <c r="J73" s="482"/>
      <c r="K73" s="482"/>
      <c r="L73" s="482"/>
      <c r="M73" s="482"/>
      <c r="N73" s="482"/>
      <c r="O73" s="482"/>
      <c r="P73" s="481"/>
    </row>
    <row r="74" spans="1:24" ht="17.25" customHeight="1" thickBot="1" x14ac:dyDescent="0.4">
      <c r="C74" s="483" t="s">
        <v>677</v>
      </c>
      <c r="D74" s="484" t="s">
        <v>678</v>
      </c>
      <c r="E74" s="481"/>
      <c r="F74" s="481"/>
      <c r="G74" s="482"/>
      <c r="H74" s="482"/>
      <c r="I74" s="482"/>
      <c r="J74" s="482"/>
      <c r="K74" s="482"/>
      <c r="L74" s="482"/>
      <c r="M74" s="482"/>
      <c r="N74" s="482"/>
      <c r="O74" s="482"/>
      <c r="P74" s="481"/>
    </row>
    <row r="75" spans="1:24" s="492" customFormat="1" ht="36.75" customHeight="1" thickBot="1" x14ac:dyDescent="0.7">
      <c r="A75" s="481"/>
      <c r="B75" s="486" t="s">
        <v>679</v>
      </c>
      <c r="C75" s="487" t="s">
        <v>258</v>
      </c>
      <c r="D75" s="514" t="str">
        <f>VLOOKUP(C75,overview_of_services!$B$2:$I$88,3,FALSE)</f>
        <v>Heat recovery control:
prevention of overheating</v>
      </c>
      <c r="E75" s="489"/>
      <c r="F75" s="490" t="s">
        <v>680</v>
      </c>
      <c r="G75" s="578" t="str">
        <f>VLOOKUP(C75,overview_of_services!$B$2:$I$88,2,FALSE)</f>
        <v>Air temperature control</v>
      </c>
      <c r="H75" s="578"/>
      <c r="I75" s="490"/>
      <c r="J75" s="491"/>
      <c r="K75" s="491"/>
      <c r="L75" s="491"/>
      <c r="M75" s="491"/>
      <c r="N75" s="491"/>
      <c r="O75" s="491"/>
      <c r="R75" s="492" t="s">
        <v>681</v>
      </c>
      <c r="S75" s="492">
        <f>ROW()</f>
        <v>75</v>
      </c>
    </row>
    <row r="76" spans="1:24" ht="5.25" customHeight="1" x14ac:dyDescent="0.35">
      <c r="C76" s="493"/>
      <c r="D76" s="493"/>
      <c r="E76" s="493"/>
      <c r="F76" s="493"/>
      <c r="G76" s="493"/>
      <c r="H76" s="493"/>
      <c r="I76" s="493"/>
      <c r="J76" s="493"/>
      <c r="K76" s="493"/>
      <c r="L76" s="493"/>
      <c r="M76" s="493"/>
      <c r="N76" s="493"/>
      <c r="O76" s="494"/>
      <c r="P76" s="481"/>
    </row>
    <row r="77" spans="1:24" ht="20.25" customHeight="1" outlineLevel="1" x14ac:dyDescent="0.35">
      <c r="C77" s="575" t="s">
        <v>682</v>
      </c>
      <c r="D77" s="575"/>
      <c r="E77" s="577" t="s">
        <v>683</v>
      </c>
      <c r="F77" s="577"/>
      <c r="G77" s="577"/>
      <c r="H77" s="577"/>
      <c r="I77" s="577"/>
      <c r="J77" s="577"/>
      <c r="K77" s="577"/>
      <c r="L77" s="573" t="s">
        <v>684</v>
      </c>
      <c r="M77" s="574"/>
      <c r="N77" s="569" t="s">
        <v>685</v>
      </c>
      <c r="O77" s="571" t="s">
        <v>686</v>
      </c>
      <c r="P77" s="481"/>
    </row>
    <row r="78" spans="1:24" ht="36.75" customHeight="1" outlineLevel="1" thickBot="1" x14ac:dyDescent="0.4">
      <c r="C78" s="576"/>
      <c r="D78" s="576"/>
      <c r="E78" s="495" t="s">
        <v>687</v>
      </c>
      <c r="F78" s="495" t="s">
        <v>688</v>
      </c>
      <c r="G78" s="495" t="s">
        <v>689</v>
      </c>
      <c r="H78" s="495" t="s">
        <v>690</v>
      </c>
      <c r="I78" s="495" t="s">
        <v>616</v>
      </c>
      <c r="J78" s="495" t="s">
        <v>691</v>
      </c>
      <c r="K78" s="495" t="s">
        <v>692</v>
      </c>
      <c r="L78" s="496" t="s">
        <v>693</v>
      </c>
      <c r="M78" s="496" t="s">
        <v>694</v>
      </c>
      <c r="N78" s="570"/>
      <c r="O78" s="572"/>
      <c r="P78" s="481"/>
    </row>
    <row r="79" spans="1:24" s="503" customFormat="1" ht="35.25" customHeight="1" outlineLevel="1" thickTop="1" x14ac:dyDescent="0.5">
      <c r="A79" s="481"/>
      <c r="B79" s="481"/>
      <c r="C79" s="497" t="s">
        <v>695</v>
      </c>
      <c r="D79" s="498" t="str">
        <f>VLOOKUP(C75,overview_of_services!$B$2:$I$88,4,FALSE)</f>
        <v>Without overheating control</v>
      </c>
      <c r="E79" s="499">
        <v>0</v>
      </c>
      <c r="F79" s="499">
        <v>0</v>
      </c>
      <c r="G79" s="499">
        <v>0</v>
      </c>
      <c r="H79" s="499">
        <v>0</v>
      </c>
      <c r="I79" s="499">
        <v>0</v>
      </c>
      <c r="J79" s="499">
        <v>0</v>
      </c>
      <c r="K79" s="499">
        <v>0</v>
      </c>
      <c r="L79" s="500" t="s">
        <v>696</v>
      </c>
      <c r="M79" s="500" t="s">
        <v>696</v>
      </c>
      <c r="N79" s="501">
        <v>0</v>
      </c>
      <c r="O79" s="502" t="s">
        <v>697</v>
      </c>
      <c r="P79" s="504"/>
      <c r="R79" s="504">
        <f t="shared" ref="R79:S83" si="11">IF(E79=0,0,(IF(E79="+",1,(IF(E79="++",2,(IF(E79="+++",3,(IF(E79="++++",4,(IF(E79="-",-1,(IF(E79="--",-2,(IF(E79="---",-3,(IF(E79="----",-4,"NA")))))))))))))))))</f>
        <v>0</v>
      </c>
      <c r="S79" s="504">
        <f t="shared" si="11"/>
        <v>0</v>
      </c>
      <c r="T79" s="504">
        <f t="shared" ref="T79:X83" si="12">IF(G79=0,0,(IF(G79="+",1,(IF(G79="++",2,(IF(G79="+++",3,(IF(G79="++++",4,(IF(G79="-",-1,(IF(G79="--",-2,(IF(G79="---",-3,(IF(G79="----",-4,"NA")))))))))))))))))</f>
        <v>0</v>
      </c>
      <c r="U79" s="504">
        <f t="shared" si="12"/>
        <v>0</v>
      </c>
      <c r="V79" s="504">
        <f t="shared" si="12"/>
        <v>0</v>
      </c>
      <c r="W79" s="504">
        <f t="shared" si="12"/>
        <v>0</v>
      </c>
      <c r="X79" s="504">
        <f t="shared" si="12"/>
        <v>0</v>
      </c>
    </row>
    <row r="80" spans="1:24" s="503" customFormat="1" ht="35.25" customHeight="1" outlineLevel="1" x14ac:dyDescent="0.5">
      <c r="A80" s="481"/>
      <c r="B80" s="481"/>
      <c r="C80" s="505" t="s">
        <v>699</v>
      </c>
      <c r="D80" s="506" t="str">
        <f>VLOOKUP(C75,overview_of_services!$B$2:$I$88,5,FALSE)</f>
        <v>Modulate or bypass heat recovery based on sensors in air exhaust</v>
      </c>
      <c r="E80" s="499" t="s">
        <v>700</v>
      </c>
      <c r="F80" s="499">
        <v>0</v>
      </c>
      <c r="G80" s="507" t="s">
        <v>700</v>
      </c>
      <c r="H80" s="507" t="s">
        <v>700</v>
      </c>
      <c r="I80" s="507" t="s">
        <v>700</v>
      </c>
      <c r="J80" s="499">
        <v>0</v>
      </c>
      <c r="K80" s="499">
        <v>0</v>
      </c>
      <c r="L80" s="500" t="s">
        <v>708</v>
      </c>
      <c r="M80" s="500" t="s">
        <v>718</v>
      </c>
      <c r="N80" s="501">
        <v>2</v>
      </c>
      <c r="O80" s="502" t="s">
        <v>771</v>
      </c>
      <c r="P80" s="504"/>
      <c r="R80" s="504">
        <f t="shared" si="11"/>
        <v>1</v>
      </c>
      <c r="S80" s="504">
        <f t="shared" si="11"/>
        <v>0</v>
      </c>
      <c r="T80" s="504">
        <f t="shared" si="12"/>
        <v>1</v>
      </c>
      <c r="U80" s="504">
        <f t="shared" si="12"/>
        <v>1</v>
      </c>
      <c r="V80" s="504">
        <f t="shared" si="12"/>
        <v>1</v>
      </c>
      <c r="W80" s="504">
        <f t="shared" si="12"/>
        <v>0</v>
      </c>
      <c r="X80" s="504">
        <f t="shared" si="12"/>
        <v>0</v>
      </c>
    </row>
    <row r="81" spans="1:24" s="503" customFormat="1" ht="35.25" customHeight="1" outlineLevel="1" x14ac:dyDescent="0.5">
      <c r="A81" s="481"/>
      <c r="B81" s="481"/>
      <c r="C81" s="505" t="s">
        <v>703</v>
      </c>
      <c r="D81" s="506" t="str">
        <f>VLOOKUP(C75,overview_of_services!$B$2:$I$88,6,FALSE)</f>
        <v>Modulate or bypass heat recovery based on multiple room temperature sensors or predictive control</v>
      </c>
      <c r="E81" s="507" t="s">
        <v>704</v>
      </c>
      <c r="F81" s="499">
        <v>0</v>
      </c>
      <c r="G81" s="507" t="s">
        <v>704</v>
      </c>
      <c r="H81" s="507" t="s">
        <v>704</v>
      </c>
      <c r="I81" s="507" t="s">
        <v>704</v>
      </c>
      <c r="J81" s="499">
        <v>0</v>
      </c>
      <c r="K81" s="499">
        <v>0</v>
      </c>
      <c r="L81" s="500" t="s">
        <v>708</v>
      </c>
      <c r="M81" s="500" t="s">
        <v>718</v>
      </c>
      <c r="N81" s="501">
        <v>2</v>
      </c>
      <c r="O81" s="502" t="s">
        <v>771</v>
      </c>
      <c r="P81" s="504"/>
      <c r="R81" s="504">
        <f t="shared" si="11"/>
        <v>2</v>
      </c>
      <c r="S81" s="504">
        <f t="shared" si="11"/>
        <v>0</v>
      </c>
      <c r="T81" s="504">
        <f t="shared" si="12"/>
        <v>2</v>
      </c>
      <c r="U81" s="504">
        <f t="shared" si="12"/>
        <v>2</v>
      </c>
      <c r="V81" s="504">
        <f t="shared" si="12"/>
        <v>2</v>
      </c>
      <c r="W81" s="504">
        <f t="shared" si="12"/>
        <v>0</v>
      </c>
      <c r="X81" s="504">
        <f t="shared" si="12"/>
        <v>0</v>
      </c>
    </row>
    <row r="82" spans="1:24" s="503" customFormat="1" ht="35.25" customHeight="1" outlineLevel="1" x14ac:dyDescent="0.5">
      <c r="A82" s="481"/>
      <c r="B82" s="481"/>
      <c r="C82" s="505" t="s">
        <v>706</v>
      </c>
      <c r="D82" s="506">
        <f>VLOOKUP(C75,overview_of_services!$B$2:$I$88,7,FALSE)</f>
        <v>0</v>
      </c>
      <c r="E82" s="499"/>
      <c r="F82" s="499"/>
      <c r="G82" s="499"/>
      <c r="H82" s="499"/>
      <c r="I82" s="499"/>
      <c r="J82" s="499"/>
      <c r="K82" s="499"/>
      <c r="L82" s="500" t="s">
        <v>721</v>
      </c>
      <c r="M82" s="500"/>
      <c r="N82" s="501" t="s">
        <v>721</v>
      </c>
      <c r="O82" s="502" t="s">
        <v>721</v>
      </c>
      <c r="P82" s="504"/>
      <c r="R82" s="504">
        <f t="shared" si="11"/>
        <v>0</v>
      </c>
      <c r="S82" s="504">
        <f t="shared" si="11"/>
        <v>0</v>
      </c>
      <c r="T82" s="504">
        <f t="shared" si="12"/>
        <v>0</v>
      </c>
      <c r="U82" s="504">
        <f t="shared" si="12"/>
        <v>0</v>
      </c>
      <c r="V82" s="504">
        <f t="shared" si="12"/>
        <v>0</v>
      </c>
      <c r="W82" s="504">
        <f t="shared" si="12"/>
        <v>0</v>
      </c>
      <c r="X82" s="504">
        <f t="shared" si="12"/>
        <v>0</v>
      </c>
    </row>
    <row r="83" spans="1:24" s="503" customFormat="1" ht="35.25" customHeight="1" outlineLevel="1" x14ac:dyDescent="0.5">
      <c r="A83" s="481"/>
      <c r="B83" s="481"/>
      <c r="C83" s="505" t="s">
        <v>710</v>
      </c>
      <c r="D83" s="506">
        <f>VLOOKUP(C75,overview_of_services!$B$2:$I$88,8,FALSE)</f>
        <v>0</v>
      </c>
      <c r="E83" s="507"/>
      <c r="F83" s="499"/>
      <c r="G83" s="507"/>
      <c r="H83" s="507"/>
      <c r="I83" s="499"/>
      <c r="J83" s="499"/>
      <c r="K83" s="499"/>
      <c r="L83" s="500"/>
      <c r="M83" s="500"/>
      <c r="N83" s="501"/>
      <c r="O83" s="502"/>
      <c r="P83" s="504"/>
      <c r="R83" s="504">
        <f t="shared" si="11"/>
        <v>0</v>
      </c>
      <c r="S83" s="504">
        <f t="shared" si="11"/>
        <v>0</v>
      </c>
      <c r="T83" s="504">
        <f t="shared" si="12"/>
        <v>0</v>
      </c>
      <c r="U83" s="504">
        <f t="shared" si="12"/>
        <v>0</v>
      </c>
      <c r="V83" s="504">
        <f t="shared" si="12"/>
        <v>0</v>
      </c>
      <c r="W83" s="504">
        <f t="shared" si="12"/>
        <v>0</v>
      </c>
      <c r="X83" s="504">
        <f t="shared" si="12"/>
        <v>0</v>
      </c>
    </row>
    <row r="84" spans="1:24" s="503" customFormat="1" ht="6" customHeight="1" outlineLevel="2" thickBot="1" x14ac:dyDescent="0.4">
      <c r="A84" s="481"/>
      <c r="B84" s="481"/>
      <c r="C84" s="504"/>
      <c r="D84" s="504"/>
      <c r="E84" s="508"/>
      <c r="F84" s="508"/>
      <c r="G84" s="508"/>
      <c r="H84" s="508"/>
      <c r="I84" s="508"/>
      <c r="J84" s="508"/>
      <c r="K84" s="508"/>
      <c r="L84" s="504"/>
      <c r="M84" s="504"/>
      <c r="N84" s="504"/>
      <c r="O84" s="508"/>
      <c r="P84" s="504"/>
    </row>
    <row r="85" spans="1:24" s="503" customFormat="1" ht="30.75" customHeight="1" outlineLevel="2" thickBot="1" x14ac:dyDescent="0.4">
      <c r="A85" s="481"/>
      <c r="B85" s="481"/>
      <c r="C85" s="509"/>
      <c r="D85" s="509" t="s">
        <v>712</v>
      </c>
      <c r="E85" s="510" t="s">
        <v>729</v>
      </c>
      <c r="F85" s="511" t="s">
        <v>729</v>
      </c>
      <c r="G85" s="511" t="s">
        <v>729</v>
      </c>
      <c r="H85" s="511" t="s">
        <v>729</v>
      </c>
      <c r="I85" s="511" t="s">
        <v>729</v>
      </c>
      <c r="J85" s="511" t="s">
        <v>729</v>
      </c>
      <c r="K85" s="511" t="s">
        <v>729</v>
      </c>
      <c r="L85" s="511" t="s">
        <v>729</v>
      </c>
      <c r="M85" s="511" t="s">
        <v>729</v>
      </c>
      <c r="N85" s="511" t="s">
        <v>729</v>
      </c>
      <c r="O85" s="511" t="s">
        <v>729</v>
      </c>
      <c r="P85" s="504"/>
    </row>
    <row r="86" spans="1:24" s="503" customFormat="1" ht="30.75" customHeight="1" outlineLevel="2" thickBot="1" x14ac:dyDescent="0.4">
      <c r="A86" s="481"/>
      <c r="B86" s="481"/>
      <c r="C86" s="509"/>
      <c r="D86" s="509" t="s">
        <v>714</v>
      </c>
      <c r="E86" s="510" t="s">
        <v>30</v>
      </c>
      <c r="F86" s="512"/>
      <c r="G86" s="511"/>
      <c r="H86" s="511"/>
      <c r="I86" s="511"/>
      <c r="J86" s="511"/>
      <c r="K86" s="511"/>
      <c r="L86" s="510"/>
      <c r="M86" s="510"/>
      <c r="N86" s="513"/>
      <c r="O86" s="510"/>
      <c r="P86" s="504"/>
    </row>
    <row r="87" spans="1:24" ht="20.25" customHeight="1" outlineLevel="1" thickBot="1" x14ac:dyDescent="0.4">
      <c r="C87" s="481"/>
      <c r="D87" s="481"/>
      <c r="E87" s="481"/>
      <c r="F87" s="481"/>
      <c r="G87" s="482"/>
      <c r="H87" s="482"/>
      <c r="I87" s="482"/>
      <c r="J87" s="482"/>
      <c r="K87" s="482"/>
      <c r="L87" s="482"/>
      <c r="M87" s="482"/>
      <c r="N87" s="482"/>
      <c r="O87" s="482"/>
      <c r="P87" s="481"/>
    </row>
    <row r="88" spans="1:24" ht="17.25" customHeight="1" thickBot="1" x14ac:dyDescent="0.4">
      <c r="C88" s="483" t="s">
        <v>677</v>
      </c>
      <c r="D88" s="484" t="s">
        <v>678</v>
      </c>
      <c r="E88" s="481"/>
      <c r="F88" s="481"/>
      <c r="G88" s="482"/>
      <c r="H88" s="482"/>
      <c r="I88" s="482"/>
      <c r="J88" s="482"/>
      <c r="K88" s="482"/>
      <c r="L88" s="482"/>
      <c r="M88" s="482"/>
      <c r="N88" s="482"/>
      <c r="O88" s="482"/>
      <c r="P88" s="481"/>
    </row>
    <row r="89" spans="1:24" s="492" customFormat="1" ht="36.75" customHeight="1" thickBot="1" x14ac:dyDescent="0.7">
      <c r="A89" s="481"/>
      <c r="B89" s="486" t="s">
        <v>679</v>
      </c>
      <c r="C89" s="487" t="s">
        <v>265</v>
      </c>
      <c r="D89" s="514" t="str">
        <f>VLOOKUP(C89,overview_of_services!$B$2:$I$88,3,FALSE)</f>
        <v>Supply air temperature control</v>
      </c>
      <c r="E89" s="489"/>
      <c r="F89" s="490" t="s">
        <v>680</v>
      </c>
      <c r="G89" s="578" t="str">
        <f>VLOOKUP(C89,overview_of_services!$B$2:$I$88,2,FALSE)</f>
        <v>Air temperature control</v>
      </c>
      <c r="H89" s="578"/>
      <c r="I89" s="490"/>
      <c r="J89" s="491"/>
      <c r="K89" s="491"/>
      <c r="L89" s="491"/>
      <c r="M89" s="491"/>
      <c r="N89" s="491"/>
      <c r="O89" s="491"/>
      <c r="R89" s="492" t="s">
        <v>681</v>
      </c>
      <c r="S89" s="492">
        <f>ROW()</f>
        <v>89</v>
      </c>
    </row>
    <row r="90" spans="1:24" ht="5.25" customHeight="1" x14ac:dyDescent="0.35">
      <c r="C90" s="493"/>
      <c r="D90" s="493"/>
      <c r="E90" s="493"/>
      <c r="F90" s="493"/>
      <c r="G90" s="493"/>
      <c r="H90" s="493"/>
      <c r="I90" s="493"/>
      <c r="J90" s="493"/>
      <c r="K90" s="493"/>
      <c r="L90" s="493"/>
      <c r="M90" s="493"/>
      <c r="N90" s="493"/>
      <c r="O90" s="494"/>
      <c r="P90" s="481"/>
    </row>
    <row r="91" spans="1:24" ht="20.25" customHeight="1" outlineLevel="1" x14ac:dyDescent="0.35">
      <c r="C91" s="575" t="s">
        <v>682</v>
      </c>
      <c r="D91" s="575"/>
      <c r="E91" s="577" t="s">
        <v>683</v>
      </c>
      <c r="F91" s="577"/>
      <c r="G91" s="577"/>
      <c r="H91" s="577"/>
      <c r="I91" s="577"/>
      <c r="J91" s="577"/>
      <c r="K91" s="577"/>
      <c r="L91" s="573" t="s">
        <v>684</v>
      </c>
      <c r="M91" s="574"/>
      <c r="N91" s="569" t="s">
        <v>685</v>
      </c>
      <c r="O91" s="571" t="s">
        <v>686</v>
      </c>
      <c r="P91" s="481"/>
    </row>
    <row r="92" spans="1:24" ht="36.75" customHeight="1" outlineLevel="1" thickBot="1" x14ac:dyDescent="0.4">
      <c r="C92" s="576"/>
      <c r="D92" s="576"/>
      <c r="E92" s="495" t="s">
        <v>687</v>
      </c>
      <c r="F92" s="495" t="s">
        <v>688</v>
      </c>
      <c r="G92" s="495" t="s">
        <v>689</v>
      </c>
      <c r="H92" s="495" t="s">
        <v>690</v>
      </c>
      <c r="I92" s="495" t="s">
        <v>616</v>
      </c>
      <c r="J92" s="495" t="s">
        <v>691</v>
      </c>
      <c r="K92" s="495" t="s">
        <v>692</v>
      </c>
      <c r="L92" s="496" t="s">
        <v>693</v>
      </c>
      <c r="M92" s="496" t="s">
        <v>694</v>
      </c>
      <c r="N92" s="570"/>
      <c r="O92" s="572"/>
      <c r="P92" s="481"/>
    </row>
    <row r="93" spans="1:24" s="503" customFormat="1" ht="35.25" customHeight="1" outlineLevel="1" thickTop="1" x14ac:dyDescent="0.5">
      <c r="A93" s="481"/>
      <c r="B93" s="481"/>
      <c r="C93" s="497" t="s">
        <v>695</v>
      </c>
      <c r="D93" s="498" t="str">
        <f>VLOOKUP(C89,overview_of_services!$B$2:$I$88,4,FALSE)</f>
        <v>No automatic control</v>
      </c>
      <c r="E93" s="499">
        <v>0</v>
      </c>
      <c r="F93" s="499">
        <v>0</v>
      </c>
      <c r="G93" s="499">
        <v>0</v>
      </c>
      <c r="H93" s="499">
        <v>0</v>
      </c>
      <c r="I93" s="499">
        <v>0</v>
      </c>
      <c r="J93" s="499">
        <v>0</v>
      </c>
      <c r="K93" s="499">
        <v>0</v>
      </c>
      <c r="L93" s="500" t="s">
        <v>696</v>
      </c>
      <c r="M93" s="500" t="s">
        <v>696</v>
      </c>
      <c r="N93" s="501">
        <v>0</v>
      </c>
      <c r="O93" s="502" t="s">
        <v>697</v>
      </c>
      <c r="P93" s="504"/>
      <c r="R93" s="504">
        <f t="shared" ref="R93:S97" si="13">IF(E93=0,0,(IF(E93="+",1,(IF(E93="++",2,(IF(E93="+++",3,(IF(E93="++++",4,(IF(E93="-",-1,(IF(E93="--",-2,(IF(E93="---",-3,(IF(E93="----",-4,"NA")))))))))))))))))</f>
        <v>0</v>
      </c>
      <c r="S93" s="504">
        <f t="shared" si="13"/>
        <v>0</v>
      </c>
      <c r="T93" s="504">
        <f t="shared" ref="T93:X97" si="14">IF(G93=0,0,(IF(G93="+",1,(IF(G93="++",2,(IF(G93="+++",3,(IF(G93="++++",4,(IF(G93="-",-1,(IF(G93="--",-2,(IF(G93="---",-3,(IF(G93="----",-4,"NA")))))))))))))))))</f>
        <v>0</v>
      </c>
      <c r="U93" s="504">
        <f t="shared" si="14"/>
        <v>0</v>
      </c>
      <c r="V93" s="504">
        <f t="shared" si="14"/>
        <v>0</v>
      </c>
      <c r="W93" s="504">
        <f t="shared" si="14"/>
        <v>0</v>
      </c>
      <c r="X93" s="504">
        <f t="shared" si="14"/>
        <v>0</v>
      </c>
    </row>
    <row r="94" spans="1:24" s="503" customFormat="1" ht="35.25" customHeight="1" outlineLevel="1" x14ac:dyDescent="0.5">
      <c r="A94" s="481"/>
      <c r="B94" s="481"/>
      <c r="C94" s="505" t="s">
        <v>699</v>
      </c>
      <c r="D94" s="506" t="str">
        <f>VLOOKUP(C89,overview_of_services!$B$2:$I$88,5,FALSE)</f>
        <v>Constant set point</v>
      </c>
      <c r="E94" s="499" t="s">
        <v>700</v>
      </c>
      <c r="F94" s="499">
        <v>0</v>
      </c>
      <c r="G94" s="499" t="s">
        <v>700</v>
      </c>
      <c r="H94" s="499" t="s">
        <v>700</v>
      </c>
      <c r="I94" s="499">
        <v>0</v>
      </c>
      <c r="J94" s="499">
        <v>0</v>
      </c>
      <c r="K94" s="499">
        <v>0</v>
      </c>
      <c r="L94" s="500" t="s">
        <v>708</v>
      </c>
      <c r="M94" s="500" t="s">
        <v>718</v>
      </c>
      <c r="N94" s="501">
        <v>1</v>
      </c>
      <c r="O94" s="502" t="s">
        <v>772</v>
      </c>
      <c r="P94" s="504"/>
      <c r="R94" s="504">
        <f t="shared" si="13"/>
        <v>1</v>
      </c>
      <c r="S94" s="504">
        <f t="shared" si="13"/>
        <v>0</v>
      </c>
      <c r="T94" s="504">
        <f t="shared" si="14"/>
        <v>1</v>
      </c>
      <c r="U94" s="504">
        <f t="shared" si="14"/>
        <v>1</v>
      </c>
      <c r="V94" s="504">
        <f t="shared" si="14"/>
        <v>0</v>
      </c>
      <c r="W94" s="504">
        <f t="shared" si="14"/>
        <v>0</v>
      </c>
      <c r="X94" s="504">
        <f t="shared" si="14"/>
        <v>0</v>
      </c>
    </row>
    <row r="95" spans="1:24" s="503" customFormat="1" ht="43.5" outlineLevel="1" x14ac:dyDescent="0.5">
      <c r="A95" s="481"/>
      <c r="B95" s="481"/>
      <c r="C95" s="505" t="s">
        <v>703</v>
      </c>
      <c r="D95" s="506" t="str">
        <f>VLOOKUP(C89,overview_of_services!$B$2:$I$88,6,FALSE)</f>
        <v>Variable set point with outdoor temperature compensation</v>
      </c>
      <c r="E95" s="507" t="s">
        <v>704</v>
      </c>
      <c r="F95" s="499">
        <v>0</v>
      </c>
      <c r="G95" s="507" t="s">
        <v>704</v>
      </c>
      <c r="H95" s="499" t="s">
        <v>700</v>
      </c>
      <c r="I95" s="499">
        <v>0</v>
      </c>
      <c r="J95" s="499">
        <v>0</v>
      </c>
      <c r="K95" s="499">
        <v>0</v>
      </c>
      <c r="L95" s="500" t="s">
        <v>708</v>
      </c>
      <c r="M95" s="500" t="s">
        <v>718</v>
      </c>
      <c r="N95" s="501">
        <v>2</v>
      </c>
      <c r="O95" s="502" t="s">
        <v>773</v>
      </c>
      <c r="P95" s="504"/>
      <c r="R95" s="504">
        <f t="shared" si="13"/>
        <v>2</v>
      </c>
      <c r="S95" s="504">
        <f t="shared" si="13"/>
        <v>0</v>
      </c>
      <c r="T95" s="504">
        <f t="shared" si="14"/>
        <v>2</v>
      </c>
      <c r="U95" s="504">
        <f t="shared" si="14"/>
        <v>1</v>
      </c>
      <c r="V95" s="504">
        <f t="shared" si="14"/>
        <v>0</v>
      </c>
      <c r="W95" s="504">
        <f t="shared" si="14"/>
        <v>0</v>
      </c>
      <c r="X95" s="504">
        <f t="shared" si="14"/>
        <v>0</v>
      </c>
    </row>
    <row r="96" spans="1:24" s="503" customFormat="1" ht="58" outlineLevel="1" x14ac:dyDescent="0.5">
      <c r="A96" s="481"/>
      <c r="B96" s="481"/>
      <c r="C96" s="505" t="s">
        <v>706</v>
      </c>
      <c r="D96" s="506" t="str">
        <f>VLOOKUP(C89,overview_of_services!$B$2:$I$88,7,FALSE)</f>
        <v>Variable set point with load dependant compensation</v>
      </c>
      <c r="E96" s="507" t="s">
        <v>707</v>
      </c>
      <c r="F96" s="499">
        <v>0</v>
      </c>
      <c r="G96" s="507" t="s">
        <v>704</v>
      </c>
      <c r="H96" s="499" t="s">
        <v>700</v>
      </c>
      <c r="I96" s="499">
        <v>0</v>
      </c>
      <c r="J96" s="499">
        <v>0</v>
      </c>
      <c r="K96" s="499">
        <v>0</v>
      </c>
      <c r="L96" s="500" t="s">
        <v>708</v>
      </c>
      <c r="M96" s="500" t="s">
        <v>718</v>
      </c>
      <c r="N96" s="501">
        <v>3</v>
      </c>
      <c r="O96" s="502" t="s">
        <v>774</v>
      </c>
      <c r="P96" s="504"/>
      <c r="R96" s="504">
        <f t="shared" si="13"/>
        <v>3</v>
      </c>
      <c r="S96" s="504">
        <f t="shared" si="13"/>
        <v>0</v>
      </c>
      <c r="T96" s="504">
        <f t="shared" si="14"/>
        <v>2</v>
      </c>
      <c r="U96" s="504">
        <f t="shared" si="14"/>
        <v>1</v>
      </c>
      <c r="V96" s="504">
        <f t="shared" si="14"/>
        <v>0</v>
      </c>
      <c r="W96" s="504">
        <f t="shared" si="14"/>
        <v>0</v>
      </c>
      <c r="X96" s="504">
        <f t="shared" si="14"/>
        <v>0</v>
      </c>
    </row>
    <row r="97" spans="1:24" s="503" customFormat="1" ht="35.25" customHeight="1" outlineLevel="1" x14ac:dyDescent="0.5">
      <c r="A97" s="481"/>
      <c r="B97" s="481"/>
      <c r="C97" s="505" t="s">
        <v>710</v>
      </c>
      <c r="D97" s="506">
        <f>VLOOKUP(C89,overview_of_services!$B$2:$I$88,8,FALSE)</f>
        <v>0</v>
      </c>
      <c r="E97" s="507"/>
      <c r="F97" s="499"/>
      <c r="G97" s="507"/>
      <c r="H97" s="507"/>
      <c r="I97" s="499"/>
      <c r="J97" s="499"/>
      <c r="K97" s="499"/>
      <c r="L97" s="500"/>
      <c r="M97" s="500"/>
      <c r="N97" s="501"/>
      <c r="O97" s="502"/>
      <c r="P97" s="504"/>
      <c r="R97" s="504">
        <f t="shared" si="13"/>
        <v>0</v>
      </c>
      <c r="S97" s="504">
        <f t="shared" si="13"/>
        <v>0</v>
      </c>
      <c r="T97" s="504">
        <f t="shared" si="14"/>
        <v>0</v>
      </c>
      <c r="U97" s="504">
        <f t="shared" si="14"/>
        <v>0</v>
      </c>
      <c r="V97" s="504">
        <f t="shared" si="14"/>
        <v>0</v>
      </c>
      <c r="W97" s="504">
        <f t="shared" si="14"/>
        <v>0</v>
      </c>
      <c r="X97" s="504">
        <f t="shared" si="14"/>
        <v>0</v>
      </c>
    </row>
    <row r="98" spans="1:24" s="503" customFormat="1" ht="6" customHeight="1" outlineLevel="2" thickBot="1" x14ac:dyDescent="0.4">
      <c r="A98" s="481"/>
      <c r="B98" s="481"/>
      <c r="C98" s="504"/>
      <c r="D98" s="504"/>
      <c r="E98" s="508"/>
      <c r="F98" s="508"/>
      <c r="G98" s="508"/>
      <c r="H98" s="508"/>
      <c r="I98" s="508"/>
      <c r="J98" s="508"/>
      <c r="K98" s="508"/>
      <c r="L98" s="504"/>
      <c r="M98" s="504"/>
      <c r="N98" s="504"/>
      <c r="O98" s="508"/>
      <c r="P98" s="504"/>
    </row>
    <row r="99" spans="1:24" s="503" customFormat="1" ht="30.75" customHeight="1" outlineLevel="2" thickBot="1" x14ac:dyDescent="0.4">
      <c r="A99" s="481"/>
      <c r="B99" s="481"/>
      <c r="C99" s="509"/>
      <c r="D99" s="509" t="s">
        <v>712</v>
      </c>
      <c r="E99" s="510" t="s">
        <v>729</v>
      </c>
      <c r="F99" s="511" t="s">
        <v>729</v>
      </c>
      <c r="G99" s="511" t="s">
        <v>729</v>
      </c>
      <c r="H99" s="511" t="s">
        <v>729</v>
      </c>
      <c r="I99" s="511" t="s">
        <v>729</v>
      </c>
      <c r="J99" s="511" t="s">
        <v>729</v>
      </c>
      <c r="K99" s="511" t="s">
        <v>729</v>
      </c>
      <c r="L99" s="511" t="s">
        <v>729</v>
      </c>
      <c r="M99" s="511" t="s">
        <v>729</v>
      </c>
      <c r="N99" s="511" t="s">
        <v>729</v>
      </c>
      <c r="O99" s="511" t="s">
        <v>729</v>
      </c>
      <c r="P99" s="504"/>
    </row>
    <row r="100" spans="1:24" s="503" customFormat="1" ht="30.75" customHeight="1" outlineLevel="2" thickBot="1" x14ac:dyDescent="0.4">
      <c r="A100" s="481"/>
      <c r="B100" s="481"/>
      <c r="C100" s="509"/>
      <c r="D100" s="509" t="s">
        <v>714</v>
      </c>
      <c r="E100" s="510" t="s">
        <v>30</v>
      </c>
      <c r="F100" s="512"/>
      <c r="G100" s="511"/>
      <c r="H100" s="511"/>
      <c r="I100" s="511"/>
      <c r="J100" s="511"/>
      <c r="K100" s="511"/>
      <c r="L100" s="510"/>
      <c r="M100" s="510"/>
      <c r="N100" s="513"/>
      <c r="O100" s="510"/>
      <c r="P100" s="504"/>
    </row>
    <row r="101" spans="1:24" ht="20.25" customHeight="1" outlineLevel="1" thickBot="1" x14ac:dyDescent="0.4">
      <c r="C101" s="481"/>
      <c r="D101" s="481"/>
      <c r="E101" s="481"/>
      <c r="F101" s="481"/>
      <c r="G101" s="482"/>
      <c r="H101" s="482"/>
      <c r="I101" s="482"/>
      <c r="J101" s="482"/>
      <c r="K101" s="482"/>
      <c r="L101" s="482"/>
      <c r="M101" s="482"/>
      <c r="N101" s="482"/>
      <c r="O101" s="482"/>
      <c r="P101" s="481"/>
    </row>
    <row r="102" spans="1:24" ht="17.25" customHeight="1" thickBot="1" x14ac:dyDescent="0.4">
      <c r="C102" s="483" t="s">
        <v>677</v>
      </c>
      <c r="D102" s="484" t="s">
        <v>678</v>
      </c>
      <c r="E102" s="481"/>
      <c r="F102" s="481"/>
      <c r="G102" s="482"/>
      <c r="H102" s="482"/>
      <c r="I102" s="482"/>
      <c r="J102" s="482"/>
      <c r="K102" s="482"/>
      <c r="L102" s="482"/>
      <c r="M102" s="482"/>
      <c r="N102" s="482"/>
      <c r="O102" s="482"/>
      <c r="P102" s="481"/>
    </row>
    <row r="103" spans="1:24" s="492" customFormat="1" ht="36.75" customHeight="1" thickBot="1" x14ac:dyDescent="0.7">
      <c r="A103" s="481"/>
      <c r="B103" s="486" t="s">
        <v>679</v>
      </c>
      <c r="C103" s="487" t="s">
        <v>272</v>
      </c>
      <c r="D103" s="514" t="str">
        <f>VLOOKUP(C103,overview_of_services!$B$2:$I$88,3,FALSE)</f>
        <v>Free cooling with mechanical ventilation system</v>
      </c>
      <c r="E103" s="489"/>
      <c r="F103" s="490" t="s">
        <v>680</v>
      </c>
      <c r="G103" s="578" t="str">
        <f>VLOOKUP(C103,overview_of_services!$B$2:$I$88,2,FALSE)</f>
        <v>Free cooling</v>
      </c>
      <c r="H103" s="578"/>
      <c r="I103" s="490"/>
      <c r="J103" s="491"/>
      <c r="K103" s="491"/>
      <c r="L103" s="491"/>
      <c r="M103" s="491"/>
      <c r="N103" s="491"/>
      <c r="O103" s="491"/>
      <c r="R103" s="492" t="s">
        <v>681</v>
      </c>
      <c r="S103" s="492">
        <f>ROW()</f>
        <v>103</v>
      </c>
    </row>
    <row r="104" spans="1:24" ht="5.25" customHeight="1" x14ac:dyDescent="0.35">
      <c r="C104" s="493"/>
      <c r="D104" s="493"/>
      <c r="E104" s="493"/>
      <c r="F104" s="493"/>
      <c r="G104" s="493"/>
      <c r="H104" s="493"/>
      <c r="I104" s="493"/>
      <c r="J104" s="493"/>
      <c r="K104" s="493"/>
      <c r="L104" s="493"/>
      <c r="M104" s="493"/>
      <c r="N104" s="493"/>
      <c r="O104" s="494"/>
      <c r="P104" s="481"/>
    </row>
    <row r="105" spans="1:24" ht="20.25" customHeight="1" outlineLevel="1" x14ac:dyDescent="0.35">
      <c r="C105" s="575" t="s">
        <v>682</v>
      </c>
      <c r="D105" s="575"/>
      <c r="E105" s="577" t="s">
        <v>683</v>
      </c>
      <c r="F105" s="577"/>
      <c r="G105" s="577"/>
      <c r="H105" s="577"/>
      <c r="I105" s="577"/>
      <c r="J105" s="577"/>
      <c r="K105" s="577"/>
      <c r="L105" s="573" t="s">
        <v>684</v>
      </c>
      <c r="M105" s="574"/>
      <c r="N105" s="569" t="s">
        <v>685</v>
      </c>
      <c r="O105" s="571" t="s">
        <v>686</v>
      </c>
      <c r="P105" s="481"/>
    </row>
    <row r="106" spans="1:24" ht="36.75" customHeight="1" outlineLevel="1" thickBot="1" x14ac:dyDescent="0.4">
      <c r="C106" s="576"/>
      <c r="D106" s="576"/>
      <c r="E106" s="495" t="s">
        <v>687</v>
      </c>
      <c r="F106" s="495" t="s">
        <v>688</v>
      </c>
      <c r="G106" s="495" t="s">
        <v>689</v>
      </c>
      <c r="H106" s="495" t="s">
        <v>690</v>
      </c>
      <c r="I106" s="495" t="s">
        <v>616</v>
      </c>
      <c r="J106" s="495" t="s">
        <v>691</v>
      </c>
      <c r="K106" s="495" t="s">
        <v>692</v>
      </c>
      <c r="L106" s="496" t="s">
        <v>693</v>
      </c>
      <c r="M106" s="496" t="s">
        <v>694</v>
      </c>
      <c r="N106" s="570"/>
      <c r="O106" s="572"/>
      <c r="P106" s="481"/>
    </row>
    <row r="107" spans="1:24" s="503" customFormat="1" ht="35.25" customHeight="1" outlineLevel="1" thickTop="1" x14ac:dyDescent="0.5">
      <c r="A107" s="481"/>
      <c r="B107" s="481"/>
      <c r="C107" s="497" t="s">
        <v>695</v>
      </c>
      <c r="D107" s="498" t="str">
        <f>VLOOKUP(C103,overview_of_services!$B$2:$I$88,4,FALSE)</f>
        <v>No automatic control</v>
      </c>
      <c r="E107" s="499">
        <v>0</v>
      </c>
      <c r="F107" s="499">
        <v>0</v>
      </c>
      <c r="G107" s="499">
        <v>0</v>
      </c>
      <c r="H107" s="499">
        <v>0</v>
      </c>
      <c r="I107" s="499">
        <v>0</v>
      </c>
      <c r="J107" s="499">
        <v>0</v>
      </c>
      <c r="K107" s="499">
        <v>0</v>
      </c>
      <c r="L107" s="500" t="s">
        <v>696</v>
      </c>
      <c r="M107" s="500" t="s">
        <v>696</v>
      </c>
      <c r="N107" s="501">
        <v>0</v>
      </c>
      <c r="O107" s="502" t="s">
        <v>697</v>
      </c>
      <c r="P107" s="504"/>
      <c r="R107" s="504">
        <f t="shared" ref="R107:S111" si="15">IF(E107=0,0,(IF(E107="+",1,(IF(E107="++",2,(IF(E107="+++",3,(IF(E107="++++",4,(IF(E107="-",-1,(IF(E107="--",-2,(IF(E107="---",-3,(IF(E107="----",-4,"NA")))))))))))))))))</f>
        <v>0</v>
      </c>
      <c r="S107" s="504">
        <f t="shared" si="15"/>
        <v>0</v>
      </c>
      <c r="T107" s="504">
        <f t="shared" ref="T107:X111" si="16">IF(G107=0,0,(IF(G107="+",1,(IF(G107="++",2,(IF(G107="+++",3,(IF(G107="++++",4,(IF(G107="-",-1,(IF(G107="--",-2,(IF(G107="---",-3,(IF(G107="----",-4,"NA")))))))))))))))))</f>
        <v>0</v>
      </c>
      <c r="U107" s="504">
        <f t="shared" si="16"/>
        <v>0</v>
      </c>
      <c r="V107" s="504">
        <f t="shared" si="16"/>
        <v>0</v>
      </c>
      <c r="W107" s="504">
        <f t="shared" si="16"/>
        <v>0</v>
      </c>
      <c r="X107" s="504">
        <f t="shared" si="16"/>
        <v>0</v>
      </c>
    </row>
    <row r="108" spans="1:24" s="503" customFormat="1" ht="43.5" outlineLevel="1" x14ac:dyDescent="0.5">
      <c r="A108" s="481"/>
      <c r="B108" s="481"/>
      <c r="C108" s="505" t="s">
        <v>699</v>
      </c>
      <c r="D108" s="506" t="str">
        <f>VLOOKUP(C103,overview_of_services!$B$2:$I$88,5,FALSE)</f>
        <v>Night cooling</v>
      </c>
      <c r="E108" s="507" t="s">
        <v>704</v>
      </c>
      <c r="F108" s="499">
        <v>0</v>
      </c>
      <c r="G108" s="507" t="s">
        <v>704</v>
      </c>
      <c r="H108" s="507" t="s">
        <v>704</v>
      </c>
      <c r="I108" s="507" t="s">
        <v>700</v>
      </c>
      <c r="J108" s="499">
        <v>0</v>
      </c>
      <c r="K108" s="499">
        <v>0</v>
      </c>
      <c r="L108" s="500" t="s">
        <v>708</v>
      </c>
      <c r="M108" s="500" t="s">
        <v>718</v>
      </c>
      <c r="N108" s="501">
        <v>1</v>
      </c>
      <c r="O108" s="502" t="s">
        <v>775</v>
      </c>
      <c r="P108" s="504"/>
      <c r="R108" s="504">
        <f t="shared" si="15"/>
        <v>2</v>
      </c>
      <c r="S108" s="504">
        <f t="shared" si="15"/>
        <v>0</v>
      </c>
      <c r="T108" s="504">
        <f t="shared" si="16"/>
        <v>2</v>
      </c>
      <c r="U108" s="504">
        <f t="shared" si="16"/>
        <v>2</v>
      </c>
      <c r="V108" s="504">
        <f t="shared" si="16"/>
        <v>1</v>
      </c>
      <c r="W108" s="504">
        <f t="shared" si="16"/>
        <v>0</v>
      </c>
      <c r="X108" s="504">
        <f t="shared" si="16"/>
        <v>0</v>
      </c>
    </row>
    <row r="109" spans="1:24" s="503" customFormat="1" ht="43.5" outlineLevel="1" x14ac:dyDescent="0.5">
      <c r="A109" s="481"/>
      <c r="B109" s="481"/>
      <c r="C109" s="505" t="s">
        <v>703</v>
      </c>
      <c r="D109" s="506" t="str">
        <f>VLOOKUP(C103,overview_of_services!$B$2:$I$88,6,FALSE)</f>
        <v>Free cooling</v>
      </c>
      <c r="E109" s="507" t="s">
        <v>704</v>
      </c>
      <c r="F109" s="499">
        <v>0</v>
      </c>
      <c r="G109" s="507" t="s">
        <v>704</v>
      </c>
      <c r="H109" s="507" t="s">
        <v>704</v>
      </c>
      <c r="I109" s="507" t="s">
        <v>700</v>
      </c>
      <c r="J109" s="499">
        <v>0</v>
      </c>
      <c r="K109" s="499">
        <v>0</v>
      </c>
      <c r="L109" s="500" t="s">
        <v>708</v>
      </c>
      <c r="M109" s="500" t="s">
        <v>718</v>
      </c>
      <c r="N109" s="501">
        <v>2</v>
      </c>
      <c r="O109" s="502" t="s">
        <v>776</v>
      </c>
      <c r="P109" s="504"/>
      <c r="R109" s="504">
        <f t="shared" si="15"/>
        <v>2</v>
      </c>
      <c r="S109" s="504">
        <f t="shared" si="15"/>
        <v>0</v>
      </c>
      <c r="T109" s="504">
        <f t="shared" si="16"/>
        <v>2</v>
      </c>
      <c r="U109" s="504">
        <f t="shared" si="16"/>
        <v>2</v>
      </c>
      <c r="V109" s="504">
        <f t="shared" si="16"/>
        <v>1</v>
      </c>
      <c r="W109" s="504">
        <f t="shared" si="16"/>
        <v>0</v>
      </c>
      <c r="X109" s="504">
        <f t="shared" si="16"/>
        <v>0</v>
      </c>
    </row>
    <row r="110" spans="1:24" s="503" customFormat="1" ht="58" outlineLevel="1" x14ac:dyDescent="0.5">
      <c r="A110" s="481"/>
      <c r="B110" s="481"/>
      <c r="C110" s="505" t="s">
        <v>706</v>
      </c>
      <c r="D110" s="506" t="str">
        <f>VLOOKUP(C103,overview_of_services!$B$2:$I$88,7,FALSE)</f>
        <v>H,x- directed control</v>
      </c>
      <c r="E110" s="507" t="s">
        <v>707</v>
      </c>
      <c r="F110" s="499">
        <v>0</v>
      </c>
      <c r="G110" s="507" t="s">
        <v>704</v>
      </c>
      <c r="H110" s="507" t="s">
        <v>704</v>
      </c>
      <c r="I110" s="507" t="s">
        <v>700</v>
      </c>
      <c r="J110" s="499">
        <v>0</v>
      </c>
      <c r="K110" s="499">
        <v>0</v>
      </c>
      <c r="L110" s="500" t="s">
        <v>708</v>
      </c>
      <c r="M110" s="500" t="s">
        <v>708</v>
      </c>
      <c r="N110" s="501">
        <v>3</v>
      </c>
      <c r="O110" s="502" t="s">
        <v>777</v>
      </c>
      <c r="P110" s="504"/>
      <c r="R110" s="504">
        <f t="shared" si="15"/>
        <v>3</v>
      </c>
      <c r="S110" s="504">
        <f t="shared" si="15"/>
        <v>0</v>
      </c>
      <c r="T110" s="504">
        <f t="shared" si="16"/>
        <v>2</v>
      </c>
      <c r="U110" s="504">
        <f t="shared" si="16"/>
        <v>2</v>
      </c>
      <c r="V110" s="504">
        <f t="shared" si="16"/>
        <v>1</v>
      </c>
      <c r="W110" s="504">
        <f t="shared" si="16"/>
        <v>0</v>
      </c>
      <c r="X110" s="504">
        <f t="shared" si="16"/>
        <v>0</v>
      </c>
    </row>
    <row r="111" spans="1:24" s="503" customFormat="1" ht="35.25" customHeight="1" outlineLevel="1" x14ac:dyDescent="0.5">
      <c r="A111" s="481"/>
      <c r="B111" s="481"/>
      <c r="C111" s="505" t="s">
        <v>710</v>
      </c>
      <c r="D111" s="506">
        <f>VLOOKUP(C103,overview_of_services!$B$2:$I$88,8,FALSE)</f>
        <v>0</v>
      </c>
      <c r="E111" s="507"/>
      <c r="F111" s="499"/>
      <c r="G111" s="507"/>
      <c r="H111" s="507"/>
      <c r="I111" s="499"/>
      <c r="J111" s="499"/>
      <c r="K111" s="499"/>
      <c r="L111" s="500"/>
      <c r="M111" s="500"/>
      <c r="N111" s="501"/>
      <c r="O111" s="502"/>
      <c r="P111" s="504"/>
      <c r="R111" s="504">
        <f t="shared" si="15"/>
        <v>0</v>
      </c>
      <c r="S111" s="504">
        <f t="shared" si="15"/>
        <v>0</v>
      </c>
      <c r="T111" s="504">
        <f t="shared" si="16"/>
        <v>0</v>
      </c>
      <c r="U111" s="504">
        <f t="shared" si="16"/>
        <v>0</v>
      </c>
      <c r="V111" s="504">
        <f t="shared" si="16"/>
        <v>0</v>
      </c>
      <c r="W111" s="504">
        <f t="shared" si="16"/>
        <v>0</v>
      </c>
      <c r="X111" s="504">
        <f t="shared" si="16"/>
        <v>0</v>
      </c>
    </row>
    <row r="112" spans="1:24" s="503" customFormat="1" ht="6" customHeight="1" outlineLevel="2" thickBot="1" x14ac:dyDescent="0.4">
      <c r="A112" s="481"/>
      <c r="B112" s="481"/>
      <c r="C112" s="504"/>
      <c r="D112" s="504"/>
      <c r="E112" s="508"/>
      <c r="F112" s="508"/>
      <c r="G112" s="508"/>
      <c r="H112" s="508"/>
      <c r="I112" s="508"/>
      <c r="J112" s="508"/>
      <c r="K112" s="508"/>
      <c r="L112" s="504"/>
      <c r="M112" s="504"/>
      <c r="N112" s="504"/>
      <c r="O112" s="508"/>
      <c r="P112" s="504"/>
    </row>
    <row r="113" spans="1:24" s="503" customFormat="1" ht="30.75" customHeight="1" outlineLevel="2" thickBot="1" x14ac:dyDescent="0.4">
      <c r="A113" s="481"/>
      <c r="B113" s="481"/>
      <c r="C113" s="509"/>
      <c r="D113" s="509" t="s">
        <v>712</v>
      </c>
      <c r="E113" s="510" t="s">
        <v>729</v>
      </c>
      <c r="F113" s="511" t="s">
        <v>729</v>
      </c>
      <c r="G113" s="511" t="s">
        <v>729</v>
      </c>
      <c r="H113" s="511" t="s">
        <v>729</v>
      </c>
      <c r="I113" s="511" t="s">
        <v>729</v>
      </c>
      <c r="J113" s="511" t="s">
        <v>729</v>
      </c>
      <c r="K113" s="511" t="s">
        <v>729</v>
      </c>
      <c r="L113" s="511" t="s">
        <v>729</v>
      </c>
      <c r="M113" s="511" t="s">
        <v>729</v>
      </c>
      <c r="N113" s="511" t="s">
        <v>729</v>
      </c>
      <c r="O113" s="511" t="s">
        <v>729</v>
      </c>
      <c r="P113" s="504"/>
    </row>
    <row r="114" spans="1:24" s="503" customFormat="1" ht="30.75" customHeight="1" outlineLevel="2" thickBot="1" x14ac:dyDescent="0.4">
      <c r="A114" s="481"/>
      <c r="B114" s="481"/>
      <c r="C114" s="509"/>
      <c r="D114" s="509" t="s">
        <v>714</v>
      </c>
      <c r="E114" s="510" t="s">
        <v>30</v>
      </c>
      <c r="F114" s="512"/>
      <c r="G114" s="511"/>
      <c r="H114" s="511"/>
      <c r="I114" s="511"/>
      <c r="J114" s="511"/>
      <c r="K114" s="511"/>
      <c r="L114" s="510"/>
      <c r="M114" s="510"/>
      <c r="N114" s="513"/>
      <c r="O114" s="510"/>
      <c r="P114" s="504"/>
    </row>
    <row r="115" spans="1:24" ht="20.25" customHeight="1" outlineLevel="1" thickBot="1" x14ac:dyDescent="0.4">
      <c r="C115" s="481"/>
      <c r="D115" s="481"/>
      <c r="E115" s="481"/>
      <c r="F115" s="481"/>
      <c r="G115" s="482"/>
      <c r="H115" s="482"/>
      <c r="I115" s="482"/>
      <c r="J115" s="482"/>
      <c r="K115" s="482"/>
      <c r="L115" s="482"/>
      <c r="M115" s="482"/>
      <c r="N115" s="482"/>
      <c r="O115" s="482"/>
      <c r="P115" s="481"/>
    </row>
    <row r="116" spans="1:24" ht="17.25" customHeight="1" thickBot="1" x14ac:dyDescent="0.4">
      <c r="C116" s="483" t="s">
        <v>677</v>
      </c>
      <c r="D116" s="484" t="s">
        <v>678</v>
      </c>
      <c r="E116" s="481"/>
      <c r="F116" s="481"/>
      <c r="G116" s="482"/>
      <c r="H116" s="482"/>
      <c r="I116" s="482"/>
      <c r="J116" s="482"/>
      <c r="K116" s="482"/>
      <c r="L116" s="482"/>
      <c r="M116" s="482"/>
      <c r="N116" s="482"/>
      <c r="O116" s="482"/>
      <c r="P116" s="481"/>
    </row>
    <row r="117" spans="1:24" s="492" customFormat="1" ht="36.75" customHeight="1" thickBot="1" x14ac:dyDescent="0.7">
      <c r="A117" s="481"/>
      <c r="B117" s="486" t="s">
        <v>679</v>
      </c>
      <c r="C117" s="487" t="s">
        <v>278</v>
      </c>
      <c r="D117" s="514" t="str">
        <f>VLOOKUP(C117,overview_of_services!$B$2:$I$88,3,FALSE)</f>
        <v>Heat recovery control:
icing protection</v>
      </c>
      <c r="E117" s="489"/>
      <c r="F117" s="490" t="s">
        <v>680</v>
      </c>
      <c r="G117" s="578" t="str">
        <f>VLOOKUP(C117,overview_of_services!$B$2:$I$88,2,FALSE)</f>
        <v>MV system operation</v>
      </c>
      <c r="H117" s="578"/>
      <c r="I117" s="490"/>
      <c r="J117" s="491"/>
      <c r="K117" s="491"/>
      <c r="L117" s="491"/>
      <c r="M117" s="491"/>
      <c r="N117" s="491"/>
      <c r="O117" s="491"/>
      <c r="R117" s="492" t="s">
        <v>681</v>
      </c>
      <c r="S117" s="492">
        <f>ROW()</f>
        <v>117</v>
      </c>
    </row>
    <row r="118" spans="1:24" ht="5.25" customHeight="1" x14ac:dyDescent="0.35">
      <c r="C118" s="493"/>
      <c r="D118" s="493"/>
      <c r="E118" s="493"/>
      <c r="F118" s="493"/>
      <c r="G118" s="493"/>
      <c r="H118" s="493"/>
      <c r="I118" s="493"/>
      <c r="J118" s="493"/>
      <c r="K118" s="493"/>
      <c r="L118" s="493"/>
      <c r="M118" s="493"/>
      <c r="N118" s="493"/>
      <c r="O118" s="494"/>
      <c r="P118" s="481"/>
    </row>
    <row r="119" spans="1:24" ht="20.25" customHeight="1" outlineLevel="1" x14ac:dyDescent="0.35">
      <c r="C119" s="575" t="s">
        <v>682</v>
      </c>
      <c r="D119" s="575"/>
      <c r="E119" s="577" t="s">
        <v>683</v>
      </c>
      <c r="F119" s="577"/>
      <c r="G119" s="577"/>
      <c r="H119" s="577"/>
      <c r="I119" s="577"/>
      <c r="J119" s="577"/>
      <c r="K119" s="577"/>
      <c r="L119" s="573" t="s">
        <v>684</v>
      </c>
      <c r="M119" s="574"/>
      <c r="N119" s="569" t="s">
        <v>685</v>
      </c>
      <c r="O119" s="571" t="s">
        <v>686</v>
      </c>
      <c r="P119" s="481"/>
    </row>
    <row r="120" spans="1:24" ht="36.75" customHeight="1" outlineLevel="1" thickBot="1" x14ac:dyDescent="0.4">
      <c r="C120" s="576"/>
      <c r="D120" s="576"/>
      <c r="E120" s="495" t="s">
        <v>687</v>
      </c>
      <c r="F120" s="495" t="s">
        <v>688</v>
      </c>
      <c r="G120" s="495" t="s">
        <v>689</v>
      </c>
      <c r="H120" s="495" t="s">
        <v>690</v>
      </c>
      <c r="I120" s="495" t="s">
        <v>616</v>
      </c>
      <c r="J120" s="495" t="s">
        <v>691</v>
      </c>
      <c r="K120" s="495" t="s">
        <v>692</v>
      </c>
      <c r="L120" s="496" t="s">
        <v>693</v>
      </c>
      <c r="M120" s="496" t="s">
        <v>694</v>
      </c>
      <c r="N120" s="570"/>
      <c r="O120" s="572"/>
      <c r="P120" s="481"/>
    </row>
    <row r="121" spans="1:24" s="503" customFormat="1" ht="35.25" customHeight="1" outlineLevel="1" thickTop="1" x14ac:dyDescent="0.5">
      <c r="A121" s="481"/>
      <c r="B121" s="481"/>
      <c r="C121" s="497" t="s">
        <v>695</v>
      </c>
      <c r="D121" s="498" t="str">
        <f>VLOOKUP(C117,overview_of_services!$B$2:$I$88,4,FALSE)</f>
        <v>Without icing protection control:</v>
      </c>
      <c r="E121" s="499">
        <v>0</v>
      </c>
      <c r="F121" s="499">
        <v>0</v>
      </c>
      <c r="G121" s="499">
        <v>0</v>
      </c>
      <c r="H121" s="499">
        <v>0</v>
      </c>
      <c r="I121" s="499">
        <v>0</v>
      </c>
      <c r="J121" s="499">
        <v>0</v>
      </c>
      <c r="K121" s="499">
        <v>0</v>
      </c>
      <c r="L121" s="500" t="s">
        <v>696</v>
      </c>
      <c r="M121" s="500" t="s">
        <v>696</v>
      </c>
      <c r="N121" s="501">
        <v>0</v>
      </c>
      <c r="O121" s="502" t="s">
        <v>697</v>
      </c>
      <c r="P121" s="504"/>
      <c r="R121" s="504">
        <f t="shared" ref="R121:S125" si="17">IF(E121=0,0,(IF(E121="+",1,(IF(E121="++",2,(IF(E121="+++",3,(IF(E121="++++",4,(IF(E121="-",-1,(IF(E121="--",-2,(IF(E121="---",-3,(IF(E121="----",-4,"NA")))))))))))))))))</f>
        <v>0</v>
      </c>
      <c r="S121" s="504">
        <f t="shared" si="17"/>
        <v>0</v>
      </c>
      <c r="T121" s="504">
        <f t="shared" ref="T121:X125" si="18">IF(G121=0,0,(IF(G121="+",1,(IF(G121="++",2,(IF(G121="+++",3,(IF(G121="++++",4,(IF(G121="-",-1,(IF(G121="--",-2,(IF(G121="---",-3,(IF(G121="----",-4,"NA")))))))))))))))))</f>
        <v>0</v>
      </c>
      <c r="U121" s="504">
        <f t="shared" si="18"/>
        <v>0</v>
      </c>
      <c r="V121" s="504">
        <f t="shared" si="18"/>
        <v>0</v>
      </c>
      <c r="W121" s="504">
        <f t="shared" si="18"/>
        <v>0</v>
      </c>
      <c r="X121" s="504">
        <f t="shared" si="18"/>
        <v>0</v>
      </c>
    </row>
    <row r="122" spans="1:24" s="503" customFormat="1" ht="35.25" customHeight="1" outlineLevel="1" x14ac:dyDescent="0.5">
      <c r="A122" s="481"/>
      <c r="B122" s="481"/>
      <c r="C122" s="505" t="s">
        <v>699</v>
      </c>
      <c r="D122" s="506" t="str">
        <f>VLOOKUP(C117,overview_of_services!$B$2:$I$88,5,FALSE)</f>
        <v>With icing protection control:</v>
      </c>
      <c r="E122" s="507">
        <v>0</v>
      </c>
      <c r="F122" s="499">
        <v>0</v>
      </c>
      <c r="G122" s="507">
        <v>0</v>
      </c>
      <c r="H122" s="507" t="s">
        <v>704</v>
      </c>
      <c r="I122" s="507">
        <v>0</v>
      </c>
      <c r="J122" s="507" t="s">
        <v>704</v>
      </c>
      <c r="K122" s="499">
        <v>0</v>
      </c>
      <c r="L122" s="500" t="s">
        <v>708</v>
      </c>
      <c r="M122" s="500" t="s">
        <v>718</v>
      </c>
      <c r="N122" s="501">
        <v>1</v>
      </c>
      <c r="O122" s="502"/>
      <c r="P122" s="504"/>
      <c r="R122" s="504">
        <f t="shared" si="17"/>
        <v>0</v>
      </c>
      <c r="S122" s="504">
        <f t="shared" si="17"/>
        <v>0</v>
      </c>
      <c r="T122" s="504">
        <f t="shared" si="18"/>
        <v>0</v>
      </c>
      <c r="U122" s="504">
        <f t="shared" si="18"/>
        <v>2</v>
      </c>
      <c r="V122" s="504">
        <f t="shared" si="18"/>
        <v>0</v>
      </c>
      <c r="W122" s="504">
        <f t="shared" si="18"/>
        <v>2</v>
      </c>
      <c r="X122" s="504">
        <f t="shared" si="18"/>
        <v>0</v>
      </c>
    </row>
    <row r="123" spans="1:24" s="503" customFormat="1" ht="35.25" customHeight="1" outlineLevel="1" x14ac:dyDescent="0.5">
      <c r="A123" s="481"/>
      <c r="B123" s="481"/>
      <c r="C123" s="505" t="s">
        <v>703</v>
      </c>
      <c r="D123" s="506">
        <f>VLOOKUP(C117,overview_of_services!$B$2:$I$88,6,FALSE)</f>
        <v>0</v>
      </c>
      <c r="E123" s="507"/>
      <c r="F123" s="499"/>
      <c r="G123" s="507"/>
      <c r="H123" s="507"/>
      <c r="I123" s="507"/>
      <c r="J123" s="499"/>
      <c r="K123" s="499"/>
      <c r="L123" s="500" t="s">
        <v>708</v>
      </c>
      <c r="M123" s="500" t="s">
        <v>718</v>
      </c>
      <c r="N123" s="501">
        <v>2</v>
      </c>
      <c r="O123" s="502"/>
      <c r="P123" s="504"/>
      <c r="R123" s="504">
        <f t="shared" si="17"/>
        <v>0</v>
      </c>
      <c r="S123" s="504">
        <f t="shared" si="17"/>
        <v>0</v>
      </c>
      <c r="T123" s="504">
        <f t="shared" si="18"/>
        <v>0</v>
      </c>
      <c r="U123" s="504">
        <f t="shared" si="18"/>
        <v>0</v>
      </c>
      <c r="V123" s="504">
        <f t="shared" si="18"/>
        <v>0</v>
      </c>
      <c r="W123" s="504">
        <f t="shared" si="18"/>
        <v>0</v>
      </c>
      <c r="X123" s="504">
        <f t="shared" si="18"/>
        <v>0</v>
      </c>
    </row>
    <row r="124" spans="1:24" s="503" customFormat="1" ht="35.25" customHeight="1" outlineLevel="1" x14ac:dyDescent="0.5">
      <c r="A124" s="481"/>
      <c r="B124" s="481"/>
      <c r="C124" s="505" t="s">
        <v>706</v>
      </c>
      <c r="D124" s="506">
        <f>VLOOKUP(C117,overview_of_services!$B$2:$I$88,7,FALSE)</f>
        <v>0</v>
      </c>
      <c r="E124" s="507"/>
      <c r="F124" s="499"/>
      <c r="G124" s="507"/>
      <c r="H124" s="507"/>
      <c r="I124" s="507"/>
      <c r="J124" s="499"/>
      <c r="K124" s="499"/>
      <c r="L124" s="500" t="s">
        <v>708</v>
      </c>
      <c r="M124" s="500" t="s">
        <v>708</v>
      </c>
      <c r="N124" s="501">
        <v>3</v>
      </c>
      <c r="O124" s="502"/>
      <c r="P124" s="504"/>
      <c r="R124" s="504">
        <f t="shared" si="17"/>
        <v>0</v>
      </c>
      <c r="S124" s="504">
        <f t="shared" si="17"/>
        <v>0</v>
      </c>
      <c r="T124" s="504">
        <f t="shared" si="18"/>
        <v>0</v>
      </c>
      <c r="U124" s="504">
        <f t="shared" si="18"/>
        <v>0</v>
      </c>
      <c r="V124" s="504">
        <f t="shared" si="18"/>
        <v>0</v>
      </c>
      <c r="W124" s="504">
        <f t="shared" si="18"/>
        <v>0</v>
      </c>
      <c r="X124" s="504">
        <f t="shared" si="18"/>
        <v>0</v>
      </c>
    </row>
    <row r="125" spans="1:24" s="503" customFormat="1" ht="35.25" customHeight="1" outlineLevel="1" x14ac:dyDescent="0.5">
      <c r="A125" s="481"/>
      <c r="B125" s="481"/>
      <c r="C125" s="505" t="s">
        <v>710</v>
      </c>
      <c r="D125" s="506">
        <f>VLOOKUP(C117,overview_of_services!$B$2:$I$88,8,FALSE)</f>
        <v>0</v>
      </c>
      <c r="E125" s="507"/>
      <c r="F125" s="499"/>
      <c r="G125" s="507"/>
      <c r="H125" s="507"/>
      <c r="I125" s="499"/>
      <c r="J125" s="499"/>
      <c r="K125" s="499"/>
      <c r="L125" s="500"/>
      <c r="M125" s="500"/>
      <c r="N125" s="501"/>
      <c r="O125" s="502"/>
      <c r="P125" s="504"/>
      <c r="R125" s="504">
        <f t="shared" si="17"/>
        <v>0</v>
      </c>
      <c r="S125" s="504">
        <f t="shared" si="17"/>
        <v>0</v>
      </c>
      <c r="T125" s="504">
        <f t="shared" si="18"/>
        <v>0</v>
      </c>
      <c r="U125" s="504">
        <f t="shared" si="18"/>
        <v>0</v>
      </c>
      <c r="V125" s="504">
        <f t="shared" si="18"/>
        <v>0</v>
      </c>
      <c r="W125" s="504">
        <f t="shared" si="18"/>
        <v>0</v>
      </c>
      <c r="X125" s="504">
        <f t="shared" si="18"/>
        <v>0</v>
      </c>
    </row>
    <row r="126" spans="1:24" s="503" customFormat="1" ht="6" customHeight="1" outlineLevel="2" thickBot="1" x14ac:dyDescent="0.4">
      <c r="A126" s="481"/>
      <c r="B126" s="481"/>
      <c r="C126" s="504"/>
      <c r="D126" s="504"/>
      <c r="E126" s="508"/>
      <c r="F126" s="508"/>
      <c r="G126" s="508"/>
      <c r="H126" s="508"/>
      <c r="I126" s="508"/>
      <c r="J126" s="508"/>
      <c r="K126" s="508"/>
      <c r="L126" s="504"/>
      <c r="M126" s="504"/>
      <c r="N126" s="504"/>
      <c r="O126" s="508"/>
      <c r="P126" s="504"/>
    </row>
    <row r="127" spans="1:24" s="503" customFormat="1" ht="30.75" customHeight="1" outlineLevel="2" thickBot="1" x14ac:dyDescent="0.4">
      <c r="A127" s="481"/>
      <c r="B127" s="481"/>
      <c r="C127" s="509"/>
      <c r="D127" s="509" t="s">
        <v>712</v>
      </c>
      <c r="E127" s="510" t="s">
        <v>729</v>
      </c>
      <c r="F127" s="511" t="s">
        <v>729</v>
      </c>
      <c r="G127" s="511" t="s">
        <v>729</v>
      </c>
      <c r="H127" s="511" t="s">
        <v>729</v>
      </c>
      <c r="I127" s="511" t="s">
        <v>729</v>
      </c>
      <c r="J127" s="511" t="s">
        <v>729</v>
      </c>
      <c r="K127" s="511" t="s">
        <v>729</v>
      </c>
      <c r="L127" s="511" t="s">
        <v>729</v>
      </c>
      <c r="M127" s="511" t="s">
        <v>729</v>
      </c>
      <c r="N127" s="511" t="s">
        <v>729</v>
      </c>
      <c r="O127" s="511" t="s">
        <v>729</v>
      </c>
      <c r="P127" s="504"/>
    </row>
    <row r="128" spans="1:24" s="503" customFormat="1" ht="30.75" customHeight="1" outlineLevel="2" thickBot="1" x14ac:dyDescent="0.4">
      <c r="A128" s="481"/>
      <c r="B128" s="481"/>
      <c r="C128" s="509"/>
      <c r="D128" s="509" t="s">
        <v>714</v>
      </c>
      <c r="E128" s="510" t="s">
        <v>30</v>
      </c>
      <c r="F128" s="512"/>
      <c r="G128" s="511"/>
      <c r="H128" s="511"/>
      <c r="I128" s="511"/>
      <c r="J128" s="511"/>
      <c r="K128" s="511"/>
      <c r="L128" s="510"/>
      <c r="M128" s="510"/>
      <c r="N128" s="513"/>
      <c r="O128" s="510"/>
      <c r="P128" s="504"/>
    </row>
    <row r="129" spans="1:24" ht="15" thickBot="1" x14ac:dyDescent="0.4"/>
    <row r="130" spans="1:24" ht="17.25" customHeight="1" thickBot="1" x14ac:dyDescent="0.4">
      <c r="C130" s="483" t="s">
        <v>677</v>
      </c>
      <c r="D130" s="484" t="s">
        <v>678</v>
      </c>
      <c r="E130" s="481"/>
      <c r="F130" s="481"/>
      <c r="G130" s="482"/>
      <c r="H130" s="482"/>
      <c r="I130" s="482"/>
      <c r="J130" s="482"/>
      <c r="K130" s="482"/>
      <c r="L130" s="482"/>
      <c r="M130" s="482"/>
      <c r="N130" s="482"/>
      <c r="O130" s="482"/>
      <c r="P130" s="481"/>
    </row>
    <row r="131" spans="1:24" s="492" customFormat="1" ht="36.75" customHeight="1" thickBot="1" x14ac:dyDescent="0.7">
      <c r="A131" s="481"/>
      <c r="B131" s="486" t="s">
        <v>679</v>
      </c>
      <c r="C131" s="487" t="s">
        <v>285</v>
      </c>
      <c r="D131" s="514" t="str">
        <f>VLOOKUP(C131,overview_of_services!$B$2:$I$88,3,FALSE)</f>
        <v>Humidity control</v>
      </c>
      <c r="E131" s="489"/>
      <c r="F131" s="490" t="s">
        <v>680</v>
      </c>
      <c r="G131" s="578" t="str">
        <f>VLOOKUP(C131,overview_of_services!$B$2:$I$88,2,FALSE)</f>
        <v>MV system operation</v>
      </c>
      <c r="H131" s="578"/>
      <c r="I131" s="490"/>
      <c r="J131" s="491"/>
      <c r="K131" s="491"/>
      <c r="L131" s="491"/>
      <c r="M131" s="491"/>
      <c r="N131" s="491"/>
      <c r="O131" s="491"/>
      <c r="R131" s="492" t="s">
        <v>681</v>
      </c>
      <c r="S131" s="492">
        <f>ROW()</f>
        <v>131</v>
      </c>
    </row>
    <row r="132" spans="1:24" ht="5.25" customHeight="1" x14ac:dyDescent="0.35">
      <c r="C132" s="493"/>
      <c r="D132" s="493"/>
      <c r="E132" s="493"/>
      <c r="F132" s="493"/>
      <c r="G132" s="493"/>
      <c r="H132" s="493"/>
      <c r="I132" s="493"/>
      <c r="J132" s="493"/>
      <c r="K132" s="493"/>
      <c r="L132" s="493"/>
      <c r="M132" s="493"/>
      <c r="N132" s="493"/>
      <c r="O132" s="494"/>
      <c r="P132" s="481"/>
    </row>
    <row r="133" spans="1:24" ht="20.25" customHeight="1" outlineLevel="1" x14ac:dyDescent="0.35">
      <c r="C133" s="575" t="s">
        <v>682</v>
      </c>
      <c r="D133" s="575"/>
      <c r="E133" s="577" t="s">
        <v>683</v>
      </c>
      <c r="F133" s="577"/>
      <c r="G133" s="577"/>
      <c r="H133" s="577"/>
      <c r="I133" s="577"/>
      <c r="J133" s="577"/>
      <c r="K133" s="577"/>
      <c r="L133" s="573" t="s">
        <v>684</v>
      </c>
      <c r="M133" s="574"/>
      <c r="N133" s="569" t="s">
        <v>685</v>
      </c>
      <c r="O133" s="571" t="s">
        <v>686</v>
      </c>
      <c r="P133" s="481"/>
    </row>
    <row r="134" spans="1:24" ht="36.75" customHeight="1" outlineLevel="1" thickBot="1" x14ac:dyDescent="0.4">
      <c r="C134" s="576"/>
      <c r="D134" s="576"/>
      <c r="E134" s="495" t="s">
        <v>687</v>
      </c>
      <c r="F134" s="495" t="s">
        <v>688</v>
      </c>
      <c r="G134" s="495" t="s">
        <v>689</v>
      </c>
      <c r="H134" s="495" t="s">
        <v>690</v>
      </c>
      <c r="I134" s="495" t="s">
        <v>616</v>
      </c>
      <c r="J134" s="495" t="s">
        <v>691</v>
      </c>
      <c r="K134" s="495" t="s">
        <v>692</v>
      </c>
      <c r="L134" s="496" t="s">
        <v>693</v>
      </c>
      <c r="M134" s="496" t="s">
        <v>694</v>
      </c>
      <c r="N134" s="570"/>
      <c r="O134" s="572"/>
      <c r="P134" s="481"/>
    </row>
    <row r="135" spans="1:24" s="503" customFormat="1" ht="35.25" customHeight="1" outlineLevel="1" thickTop="1" x14ac:dyDescent="0.5">
      <c r="A135" s="481"/>
      <c r="B135" s="481"/>
      <c r="C135" s="497" t="s">
        <v>695</v>
      </c>
      <c r="D135" s="498" t="str">
        <f>VLOOKUP(C131,overview_of_services!$B$2:$I$88,4,FALSE)</f>
        <v>No automatic control</v>
      </c>
      <c r="E135" s="499">
        <v>0</v>
      </c>
      <c r="F135" s="499">
        <v>0</v>
      </c>
      <c r="G135" s="499">
        <v>0</v>
      </c>
      <c r="H135" s="499">
        <v>0</v>
      </c>
      <c r="I135" s="499">
        <v>0</v>
      </c>
      <c r="J135" s="499">
        <v>0</v>
      </c>
      <c r="K135" s="499">
        <v>0</v>
      </c>
      <c r="L135" s="500" t="s">
        <v>696</v>
      </c>
      <c r="M135" s="500" t="s">
        <v>696</v>
      </c>
      <c r="N135" s="501">
        <v>0</v>
      </c>
      <c r="O135" s="502" t="s">
        <v>697</v>
      </c>
      <c r="P135" s="504"/>
      <c r="R135" s="504">
        <f t="shared" ref="R135:S139" si="19">IF(E135=0,0,(IF(E135="+",1,(IF(E135="++",2,(IF(E135="+++",3,(IF(E135="++++",4,(IF(E135="-",-1,(IF(E135="--",-2,(IF(E135="---",-3,(IF(E135="----",-4,"NA")))))))))))))))))</f>
        <v>0</v>
      </c>
      <c r="S135" s="504">
        <f t="shared" si="19"/>
        <v>0</v>
      </c>
      <c r="T135" s="504">
        <f t="shared" ref="T135:X139" si="20">IF(G135=0,0,(IF(G135="+",1,(IF(G135="++",2,(IF(G135="+++",3,(IF(G135="++++",4,(IF(G135="-",-1,(IF(G135="--",-2,(IF(G135="---",-3,(IF(G135="----",-4,"NA")))))))))))))))))</f>
        <v>0</v>
      </c>
      <c r="U135" s="504">
        <f t="shared" si="20"/>
        <v>0</v>
      </c>
      <c r="V135" s="504">
        <f t="shared" si="20"/>
        <v>0</v>
      </c>
      <c r="W135" s="504">
        <f t="shared" si="20"/>
        <v>0</v>
      </c>
      <c r="X135" s="504">
        <f t="shared" si="20"/>
        <v>0</v>
      </c>
    </row>
    <row r="136" spans="1:24" s="503" customFormat="1" ht="35.25" customHeight="1" outlineLevel="1" x14ac:dyDescent="0.5">
      <c r="A136" s="481"/>
      <c r="B136" s="481"/>
      <c r="C136" s="505" t="s">
        <v>699</v>
      </c>
      <c r="D136" s="506" t="str">
        <f>VLOOKUP(C131,overview_of_services!$B$2:$I$88,5,FALSE)</f>
        <v>Dew point control</v>
      </c>
      <c r="E136" s="507">
        <v>0</v>
      </c>
      <c r="F136" s="499">
        <v>0</v>
      </c>
      <c r="G136" s="507" t="s">
        <v>704</v>
      </c>
      <c r="H136" s="507" t="s">
        <v>700</v>
      </c>
      <c r="I136" s="507" t="s">
        <v>700</v>
      </c>
      <c r="J136" s="507">
        <v>0</v>
      </c>
      <c r="K136" s="499">
        <v>0</v>
      </c>
      <c r="L136" s="500" t="s">
        <v>708</v>
      </c>
      <c r="M136" s="500" t="s">
        <v>718</v>
      </c>
      <c r="N136" s="501">
        <v>1</v>
      </c>
      <c r="O136" s="502"/>
      <c r="P136" s="504"/>
      <c r="R136" s="504">
        <f t="shared" si="19"/>
        <v>0</v>
      </c>
      <c r="S136" s="504">
        <f t="shared" si="19"/>
        <v>0</v>
      </c>
      <c r="T136" s="504">
        <f t="shared" si="20"/>
        <v>2</v>
      </c>
      <c r="U136" s="504">
        <f t="shared" si="20"/>
        <v>1</v>
      </c>
      <c r="V136" s="504">
        <f t="shared" si="20"/>
        <v>1</v>
      </c>
      <c r="W136" s="504">
        <f t="shared" si="20"/>
        <v>0</v>
      </c>
      <c r="X136" s="504">
        <f t="shared" si="20"/>
        <v>0</v>
      </c>
    </row>
    <row r="137" spans="1:24" s="503" customFormat="1" ht="35.25" customHeight="1" outlineLevel="1" x14ac:dyDescent="0.5">
      <c r="A137" s="481"/>
      <c r="B137" s="481"/>
      <c r="C137" s="505" t="s">
        <v>703</v>
      </c>
      <c r="D137" s="506" t="str">
        <f>VLOOKUP(C131,overview_of_services!$B$2:$I$88,6,FALSE)</f>
        <v>Direct humidity control</v>
      </c>
      <c r="E137" s="507">
        <v>0</v>
      </c>
      <c r="F137" s="499">
        <v>0</v>
      </c>
      <c r="G137" s="507" t="s">
        <v>704</v>
      </c>
      <c r="H137" s="507" t="s">
        <v>700</v>
      </c>
      <c r="I137" s="507" t="s">
        <v>700</v>
      </c>
      <c r="J137" s="499">
        <v>0</v>
      </c>
      <c r="K137" s="499">
        <v>0</v>
      </c>
      <c r="L137" s="500" t="s">
        <v>708</v>
      </c>
      <c r="M137" s="500" t="s">
        <v>718</v>
      </c>
      <c r="N137" s="501">
        <v>2</v>
      </c>
      <c r="O137" s="502"/>
      <c r="P137" s="504"/>
      <c r="R137" s="504">
        <f t="shared" si="19"/>
        <v>0</v>
      </c>
      <c r="S137" s="504">
        <f t="shared" si="19"/>
        <v>0</v>
      </c>
      <c r="T137" s="504">
        <f t="shared" si="20"/>
        <v>2</v>
      </c>
      <c r="U137" s="504">
        <f t="shared" si="20"/>
        <v>1</v>
      </c>
      <c r="V137" s="504">
        <f t="shared" si="20"/>
        <v>1</v>
      </c>
      <c r="W137" s="504">
        <f t="shared" si="20"/>
        <v>0</v>
      </c>
      <c r="X137" s="504">
        <f t="shared" si="20"/>
        <v>0</v>
      </c>
    </row>
    <row r="138" spans="1:24" s="503" customFormat="1" ht="35.25" customHeight="1" outlineLevel="1" x14ac:dyDescent="0.5">
      <c r="A138" s="481"/>
      <c r="B138" s="481"/>
      <c r="C138" s="505" t="s">
        <v>706</v>
      </c>
      <c r="D138" s="506">
        <f>VLOOKUP(C131,overview_of_services!$B$2:$I$88,7,FALSE)</f>
        <v>0</v>
      </c>
      <c r="E138" s="507"/>
      <c r="F138" s="499"/>
      <c r="G138" s="507"/>
      <c r="H138" s="507"/>
      <c r="I138" s="507"/>
      <c r="J138" s="499"/>
      <c r="K138" s="499"/>
      <c r="L138" s="500" t="s">
        <v>708</v>
      </c>
      <c r="M138" s="500" t="s">
        <v>708</v>
      </c>
      <c r="N138" s="501">
        <v>3</v>
      </c>
      <c r="O138" s="502"/>
      <c r="P138" s="504"/>
      <c r="R138" s="504">
        <f t="shared" si="19"/>
        <v>0</v>
      </c>
      <c r="S138" s="504">
        <f t="shared" si="19"/>
        <v>0</v>
      </c>
      <c r="T138" s="504">
        <f t="shared" si="20"/>
        <v>0</v>
      </c>
      <c r="U138" s="504">
        <f t="shared" si="20"/>
        <v>0</v>
      </c>
      <c r="V138" s="504">
        <f t="shared" si="20"/>
        <v>0</v>
      </c>
      <c r="W138" s="504">
        <f t="shared" si="20"/>
        <v>0</v>
      </c>
      <c r="X138" s="504">
        <f t="shared" si="20"/>
        <v>0</v>
      </c>
    </row>
    <row r="139" spans="1:24" s="503" customFormat="1" ht="35.25" customHeight="1" outlineLevel="1" x14ac:dyDescent="0.5">
      <c r="A139" s="481"/>
      <c r="B139" s="481"/>
      <c r="C139" s="505" t="s">
        <v>710</v>
      </c>
      <c r="D139" s="506">
        <f>VLOOKUP(C131,overview_of_services!$B$2:$I$88,8,FALSE)</f>
        <v>0</v>
      </c>
      <c r="E139" s="507"/>
      <c r="F139" s="499"/>
      <c r="G139" s="507"/>
      <c r="H139" s="507"/>
      <c r="I139" s="499"/>
      <c r="J139" s="499"/>
      <c r="K139" s="499"/>
      <c r="L139" s="500"/>
      <c r="M139" s="500"/>
      <c r="N139" s="501"/>
      <c r="O139" s="502"/>
      <c r="P139" s="504"/>
      <c r="R139" s="504">
        <f t="shared" si="19"/>
        <v>0</v>
      </c>
      <c r="S139" s="504">
        <f t="shared" si="19"/>
        <v>0</v>
      </c>
      <c r="T139" s="504">
        <f t="shared" si="20"/>
        <v>0</v>
      </c>
      <c r="U139" s="504">
        <f t="shared" si="20"/>
        <v>0</v>
      </c>
      <c r="V139" s="504">
        <f t="shared" si="20"/>
        <v>0</v>
      </c>
      <c r="W139" s="504">
        <f t="shared" si="20"/>
        <v>0</v>
      </c>
      <c r="X139" s="504">
        <f t="shared" si="20"/>
        <v>0</v>
      </c>
    </row>
    <row r="140" spans="1:24" s="503" customFormat="1" ht="6" customHeight="1" outlineLevel="2" thickBot="1" x14ac:dyDescent="0.4">
      <c r="A140" s="481"/>
      <c r="B140" s="481"/>
      <c r="C140" s="504"/>
      <c r="D140" s="504"/>
      <c r="E140" s="508"/>
      <c r="F140" s="508"/>
      <c r="G140" s="508"/>
      <c r="H140" s="508"/>
      <c r="I140" s="508"/>
      <c r="J140" s="508"/>
      <c r="K140" s="508"/>
      <c r="L140" s="504"/>
      <c r="M140" s="504"/>
      <c r="N140" s="504"/>
      <c r="O140" s="508"/>
      <c r="P140" s="504"/>
    </row>
    <row r="141" spans="1:24" s="503" customFormat="1" ht="30.75" customHeight="1" outlineLevel="2" thickBot="1" x14ac:dyDescent="0.4">
      <c r="A141" s="481"/>
      <c r="B141" s="481"/>
      <c r="C141" s="509"/>
      <c r="D141" s="509" t="s">
        <v>712</v>
      </c>
      <c r="E141" s="510" t="s">
        <v>729</v>
      </c>
      <c r="F141" s="511" t="s">
        <v>729</v>
      </c>
      <c r="G141" s="511" t="s">
        <v>729</v>
      </c>
      <c r="H141" s="511" t="s">
        <v>729</v>
      </c>
      <c r="I141" s="511" t="s">
        <v>729</v>
      </c>
      <c r="J141" s="511" t="s">
        <v>729</v>
      </c>
      <c r="K141" s="511" t="s">
        <v>729</v>
      </c>
      <c r="L141" s="511" t="s">
        <v>729</v>
      </c>
      <c r="M141" s="511" t="s">
        <v>729</v>
      </c>
      <c r="N141" s="511" t="s">
        <v>729</v>
      </c>
      <c r="O141" s="511" t="s">
        <v>729</v>
      </c>
      <c r="P141" s="504"/>
    </row>
    <row r="142" spans="1:24" s="503" customFormat="1" ht="30.75" customHeight="1" outlineLevel="2" thickBot="1" x14ac:dyDescent="0.4">
      <c r="A142" s="481"/>
      <c r="B142" s="481"/>
      <c r="C142" s="509"/>
      <c r="D142" s="509" t="s">
        <v>714</v>
      </c>
      <c r="E142" s="510"/>
      <c r="F142" s="512"/>
      <c r="G142" s="511"/>
      <c r="H142" s="511"/>
      <c r="I142" s="511"/>
      <c r="J142" s="511"/>
      <c r="K142" s="511"/>
      <c r="L142" s="510"/>
      <c r="M142" s="510"/>
      <c r="N142" s="513"/>
      <c r="O142" s="510"/>
      <c r="P142" s="504"/>
    </row>
    <row r="143" spans="1:24" ht="15" thickBot="1" x14ac:dyDescent="0.4"/>
    <row r="144" spans="1:24" ht="17.25" customHeight="1" thickBot="1" x14ac:dyDescent="0.4">
      <c r="C144" s="483" t="s">
        <v>677</v>
      </c>
      <c r="D144" s="484" t="s">
        <v>678</v>
      </c>
      <c r="E144" s="481"/>
      <c r="F144" s="481"/>
      <c r="G144" s="482"/>
      <c r="H144" s="482"/>
      <c r="I144" s="482"/>
      <c r="J144" s="482"/>
      <c r="K144" s="482"/>
      <c r="L144" s="482"/>
      <c r="M144" s="482"/>
      <c r="N144" s="482"/>
      <c r="O144" s="482"/>
      <c r="P144" s="481"/>
    </row>
    <row r="145" spans="1:24" s="492" customFormat="1" ht="36.75" customHeight="1" thickBot="1" x14ac:dyDescent="0.7">
      <c r="A145" s="481"/>
      <c r="B145" s="486" t="s">
        <v>679</v>
      </c>
      <c r="C145" s="487" t="s">
        <v>289</v>
      </c>
      <c r="D145" s="514" t="str">
        <f>VLOOKUP(C145,overview_of_services!$B$2:$I$88,3,FALSE)</f>
        <v>Reporting information regarding IAQ</v>
      </c>
      <c r="E145" s="489"/>
      <c r="F145" s="490" t="s">
        <v>680</v>
      </c>
      <c r="G145" s="578" t="str">
        <f>VLOOKUP(C145,overview_of_services!$B$2:$I$88,2,FALSE)</f>
        <v xml:space="preserve">Feedback - Reporting information </v>
      </c>
      <c r="H145" s="578"/>
      <c r="I145" s="490"/>
      <c r="J145" s="491"/>
      <c r="K145" s="491"/>
      <c r="L145" s="491"/>
      <c r="M145" s="491"/>
      <c r="N145" s="491"/>
      <c r="O145" s="491"/>
      <c r="R145" s="492" t="s">
        <v>681</v>
      </c>
      <c r="S145" s="492">
        <f>ROW()</f>
        <v>145</v>
      </c>
    </row>
    <row r="146" spans="1:24" ht="5.25" customHeight="1" x14ac:dyDescent="0.35">
      <c r="C146" s="493"/>
      <c r="D146" s="493"/>
      <c r="E146" s="493"/>
      <c r="F146" s="493"/>
      <c r="G146" s="493"/>
      <c r="H146" s="493"/>
      <c r="I146" s="493"/>
      <c r="J146" s="493"/>
      <c r="K146" s="493"/>
      <c r="L146" s="493"/>
      <c r="M146" s="493"/>
      <c r="N146" s="493"/>
      <c r="O146" s="494"/>
      <c r="P146" s="481"/>
    </row>
    <row r="147" spans="1:24" ht="20.25" customHeight="1" outlineLevel="1" x14ac:dyDescent="0.35">
      <c r="C147" s="575" t="s">
        <v>682</v>
      </c>
      <c r="D147" s="575"/>
      <c r="E147" s="577" t="s">
        <v>683</v>
      </c>
      <c r="F147" s="577"/>
      <c r="G147" s="577"/>
      <c r="H147" s="577"/>
      <c r="I147" s="577"/>
      <c r="J147" s="577"/>
      <c r="K147" s="577"/>
      <c r="L147" s="573" t="s">
        <v>684</v>
      </c>
      <c r="M147" s="574"/>
      <c r="N147" s="569" t="s">
        <v>685</v>
      </c>
      <c r="O147" s="571" t="s">
        <v>686</v>
      </c>
      <c r="P147" s="481"/>
    </row>
    <row r="148" spans="1:24" ht="36.75" customHeight="1" outlineLevel="1" thickBot="1" x14ac:dyDescent="0.4">
      <c r="C148" s="576"/>
      <c r="D148" s="576"/>
      <c r="E148" s="495" t="s">
        <v>687</v>
      </c>
      <c r="F148" s="495" t="s">
        <v>688</v>
      </c>
      <c r="G148" s="495" t="s">
        <v>689</v>
      </c>
      <c r="H148" s="495" t="s">
        <v>690</v>
      </c>
      <c r="I148" s="495" t="s">
        <v>616</v>
      </c>
      <c r="J148" s="495" t="s">
        <v>691</v>
      </c>
      <c r="K148" s="495" t="s">
        <v>692</v>
      </c>
      <c r="L148" s="496" t="s">
        <v>693</v>
      </c>
      <c r="M148" s="496" t="s">
        <v>694</v>
      </c>
      <c r="N148" s="570"/>
      <c r="O148" s="572"/>
      <c r="P148" s="481"/>
    </row>
    <row r="149" spans="1:24" s="503" customFormat="1" ht="35.25" customHeight="1" outlineLevel="1" thickTop="1" x14ac:dyDescent="0.5">
      <c r="A149" s="481"/>
      <c r="B149" s="481"/>
      <c r="C149" s="497" t="s">
        <v>695</v>
      </c>
      <c r="D149" s="498" t="str">
        <f>VLOOKUP(C145,overview_of_services!$B$2:$I$88,4,FALSE)</f>
        <v>None</v>
      </c>
      <c r="E149" s="525">
        <v>0</v>
      </c>
      <c r="F149" s="525">
        <v>0</v>
      </c>
      <c r="G149" s="525">
        <v>0</v>
      </c>
      <c r="H149" s="525">
        <v>0</v>
      </c>
      <c r="I149" s="525">
        <v>0</v>
      </c>
      <c r="J149" s="525">
        <v>0</v>
      </c>
      <c r="K149" s="525">
        <v>0</v>
      </c>
      <c r="L149" s="500" t="s">
        <v>718</v>
      </c>
      <c r="M149" s="500" t="s">
        <v>718</v>
      </c>
      <c r="N149" s="501">
        <v>0</v>
      </c>
      <c r="O149" s="502" t="s">
        <v>721</v>
      </c>
      <c r="P149" s="504"/>
      <c r="R149" s="504">
        <f>IF(E149=0,0,(IF(E149="+",1,(IF(E149="++",2,(IF(E149="+++",3,(IF(E149="++++",4,(IF(E149="-",-1,(IF(E149="--",-2,(IF(E149="---",-3,(IF(E149="----",-4,"NA")))))))))))))))))</f>
        <v>0</v>
      </c>
      <c r="S149" s="504">
        <f>IF(F149=0,0,(IF(F149="+",1,(IF(F149="++",2,(IF(F149="+++",3,(IF(F149="++++",4,(IF(F149="-",-1,(IF(F149="--",-2,(IF(F149="---",-3,(IF(F149="----",-4,"NA")))))))))))))))))</f>
        <v>0</v>
      </c>
      <c r="T149" s="504">
        <f t="shared" ref="T149:X153" si="21">IF(G149=0,0,(IF(G149="+",1,(IF(G149="++",2,(IF(G149="+++",3,(IF(G149="++++",4,(IF(G149="-",-1,(IF(G149="--",-2,(IF(G149="---",-3,(IF(G149="----",-4,"NA")))))))))))))))))</f>
        <v>0</v>
      </c>
      <c r="U149" s="504">
        <f t="shared" si="21"/>
        <v>0</v>
      </c>
      <c r="V149" s="504">
        <f t="shared" si="21"/>
        <v>0</v>
      </c>
      <c r="W149" s="504">
        <f t="shared" si="21"/>
        <v>0</v>
      </c>
      <c r="X149" s="504">
        <f t="shared" si="21"/>
        <v>0</v>
      </c>
    </row>
    <row r="150" spans="1:24" s="503" customFormat="1" ht="35.25" customHeight="1" outlineLevel="1" x14ac:dyDescent="0.5">
      <c r="A150" s="481"/>
      <c r="B150" s="481"/>
      <c r="C150" s="505" t="s">
        <v>699</v>
      </c>
      <c r="D150" s="506" t="str">
        <f>VLOOKUP(C145,overview_of_services!$B$2:$I$88,5,FALSE)</f>
        <v>Air quality sensors (e.g. CO2) and real time autonomous monitoring</v>
      </c>
      <c r="E150" s="525">
        <v>0</v>
      </c>
      <c r="F150" s="525">
        <v>0</v>
      </c>
      <c r="G150" s="525">
        <v>0</v>
      </c>
      <c r="H150" s="525">
        <v>0</v>
      </c>
      <c r="I150" s="525">
        <v>0</v>
      </c>
      <c r="J150" s="519" t="s">
        <v>700</v>
      </c>
      <c r="K150" s="519" t="s">
        <v>700</v>
      </c>
      <c r="L150" s="500" t="s">
        <v>708</v>
      </c>
      <c r="M150" s="500" t="s">
        <v>708</v>
      </c>
      <c r="N150" s="501">
        <v>2</v>
      </c>
      <c r="O150" s="502" t="s">
        <v>721</v>
      </c>
      <c r="P150" s="504"/>
      <c r="R150" s="504">
        <f t="shared" ref="R150:R153" si="22">IF(E150=0,0,(IF(E150="+",1,(IF(E150="++",2,(IF(E150="+++",3,(IF(E150="++++",4,(IF(E150="-",-1,(IF(E150="--",-2,(IF(E150="---",-3,(IF(E150="----",-4,"NA")))))))))))))))))</f>
        <v>0</v>
      </c>
      <c r="S150" s="504">
        <f>IF(F150=0,0,(IF(F150="+",1,(IF(F150="++",2,(IF(F150="+++",3,(IF(F150="++++",4,(IF(F150="-",-1,(IF(F150="--",-2,(IF(F150="---",-3,(IF(F150="----",-4,"NA")))))))))))))))))</f>
        <v>0</v>
      </c>
      <c r="T150" s="504">
        <f t="shared" si="21"/>
        <v>0</v>
      </c>
      <c r="U150" s="504">
        <f t="shared" si="21"/>
        <v>0</v>
      </c>
      <c r="V150" s="504">
        <f t="shared" si="21"/>
        <v>0</v>
      </c>
      <c r="W150" s="504">
        <f t="shared" si="21"/>
        <v>1</v>
      </c>
      <c r="X150" s="504">
        <f t="shared" si="21"/>
        <v>1</v>
      </c>
    </row>
    <row r="151" spans="1:24" s="503" customFormat="1" ht="35.25" customHeight="1" outlineLevel="1" x14ac:dyDescent="0.5">
      <c r="A151" s="481"/>
      <c r="B151" s="481"/>
      <c r="C151" s="505" t="s">
        <v>703</v>
      </c>
      <c r="D151" s="506" t="str">
        <f>VLOOKUP(C145,overview_of_services!$B$2:$I$88,6,FALSE)</f>
        <v>Real time monitoring &amp; historical information of IAQ available to occupants</v>
      </c>
      <c r="E151" s="525">
        <v>0</v>
      </c>
      <c r="F151" s="525">
        <v>0</v>
      </c>
      <c r="G151" s="525">
        <v>0</v>
      </c>
      <c r="H151" s="525">
        <v>0</v>
      </c>
      <c r="I151" s="525">
        <v>0</v>
      </c>
      <c r="J151" s="519" t="s">
        <v>700</v>
      </c>
      <c r="K151" s="519" t="s">
        <v>704</v>
      </c>
      <c r="L151" s="500" t="s">
        <v>708</v>
      </c>
      <c r="M151" s="500" t="s">
        <v>708</v>
      </c>
      <c r="N151" s="501">
        <v>3</v>
      </c>
      <c r="O151" s="502" t="s">
        <v>721</v>
      </c>
      <c r="P151" s="504"/>
      <c r="R151" s="504">
        <f t="shared" si="22"/>
        <v>0</v>
      </c>
      <c r="S151" s="504">
        <f>IF(F151=0,0,(IF(F151="+",1,(IF(F151="++",2,(IF(F151="+++",3,(IF(F151="++++",4,(IF(F151="-",-1,(IF(F151="--",-2,(IF(F151="---",-3,(IF(F151="----",-4,"NA")))))))))))))))))</f>
        <v>0</v>
      </c>
      <c r="T151" s="504">
        <f t="shared" si="21"/>
        <v>0</v>
      </c>
      <c r="U151" s="504">
        <f t="shared" si="21"/>
        <v>0</v>
      </c>
      <c r="V151" s="504">
        <f t="shared" si="21"/>
        <v>0</v>
      </c>
      <c r="W151" s="504">
        <f t="shared" si="21"/>
        <v>1</v>
      </c>
      <c r="X151" s="504">
        <f t="shared" si="21"/>
        <v>2</v>
      </c>
    </row>
    <row r="152" spans="1:24" s="503" customFormat="1" ht="45" customHeight="1" outlineLevel="1" x14ac:dyDescent="0.5">
      <c r="A152" s="481"/>
      <c r="B152" s="481"/>
      <c r="C152" s="505" t="s">
        <v>706</v>
      </c>
      <c r="D152" s="506" t="str">
        <f>VLOOKUP(C145,overview_of_services!$B$2:$I$88,7,FALSE)</f>
        <v>Real time monitoring &amp; historical information of IAQ available to occupants + fault/maintenance detection based on internal sensors</v>
      </c>
      <c r="E152" s="525">
        <v>0</v>
      </c>
      <c r="F152" s="525">
        <v>0</v>
      </c>
      <c r="G152" s="525">
        <v>0</v>
      </c>
      <c r="H152" s="525">
        <v>0</v>
      </c>
      <c r="I152" s="525">
        <v>0</v>
      </c>
      <c r="J152" s="519" t="s">
        <v>700</v>
      </c>
      <c r="K152" s="519" t="s">
        <v>707</v>
      </c>
      <c r="L152" s="500" t="s">
        <v>708</v>
      </c>
      <c r="M152" s="500" t="s">
        <v>708</v>
      </c>
      <c r="N152" s="501">
        <v>5</v>
      </c>
      <c r="O152" s="502" t="s">
        <v>721</v>
      </c>
      <c r="P152" s="504"/>
      <c r="R152" s="504">
        <f t="shared" si="22"/>
        <v>0</v>
      </c>
      <c r="S152" s="504">
        <f>IF(F152=0,0,(IF(F152="+",1,(IF(F152="++",2,(IF(F152="+++",3,(IF(F152="++++",4,(IF(F152="-",-1,(IF(F152="--",-2,(IF(F152="---",-3,(IF(F152="----",-4,"NA")))))))))))))))))</f>
        <v>0</v>
      </c>
      <c r="T152" s="504">
        <f t="shared" si="21"/>
        <v>0</v>
      </c>
      <c r="U152" s="504">
        <f t="shared" si="21"/>
        <v>0</v>
      </c>
      <c r="V152" s="504">
        <f t="shared" si="21"/>
        <v>0</v>
      </c>
      <c r="W152" s="504">
        <f t="shared" si="21"/>
        <v>1</v>
      </c>
      <c r="X152" s="504">
        <f t="shared" si="21"/>
        <v>3</v>
      </c>
    </row>
    <row r="153" spans="1:24" s="503" customFormat="1" ht="70" customHeight="1" outlineLevel="1" x14ac:dyDescent="0.5">
      <c r="A153" s="481"/>
      <c r="B153" s="481"/>
      <c r="C153" s="505" t="s">
        <v>710</v>
      </c>
      <c r="D153" s="506" t="str">
        <f>VLOOKUP(C145,overview_of_services!$B$2:$I$88,8,FALSE)</f>
        <v>Real time monitoring, historical &amp; predictive information of IAQ (incl. external data e.g. outside temperature, ambient air…) available to occupants + fault/maintenance detection based on internal sensors and historical data</v>
      </c>
      <c r="E153" s="525">
        <v>0</v>
      </c>
      <c r="F153" s="525">
        <v>0</v>
      </c>
      <c r="G153" s="525">
        <v>0</v>
      </c>
      <c r="H153" s="525" t="s">
        <v>700</v>
      </c>
      <c r="I153" s="525">
        <v>0</v>
      </c>
      <c r="J153" s="519" t="s">
        <v>704</v>
      </c>
      <c r="K153" s="519" t="s">
        <v>707</v>
      </c>
      <c r="L153" s="500" t="s">
        <v>708</v>
      </c>
      <c r="M153" s="500" t="s">
        <v>708</v>
      </c>
      <c r="N153" s="501">
        <v>7</v>
      </c>
      <c r="O153" s="502" t="s">
        <v>721</v>
      </c>
      <c r="P153" s="504"/>
      <c r="R153" s="504">
        <f t="shared" si="22"/>
        <v>0</v>
      </c>
      <c r="S153" s="504">
        <f>IF(F153=0,0,(IF(F153="+",1,(IF(F153="++",2,(IF(F153="+++",3,(IF(F153="++++",4,(IF(F153="-",-1,(IF(F153="--",-2,(IF(F153="---",-3,(IF(F153="----",-4,"NA")))))))))))))))))</f>
        <v>0</v>
      </c>
      <c r="T153" s="504">
        <f t="shared" si="21"/>
        <v>0</v>
      </c>
      <c r="U153" s="504">
        <f t="shared" si="21"/>
        <v>1</v>
      </c>
      <c r="V153" s="504">
        <f t="shared" si="21"/>
        <v>0</v>
      </c>
      <c r="W153" s="504">
        <f t="shared" si="21"/>
        <v>2</v>
      </c>
      <c r="X153" s="504">
        <f t="shared" si="21"/>
        <v>3</v>
      </c>
    </row>
    <row r="154" spans="1:24" s="503" customFormat="1" ht="6" customHeight="1" outlineLevel="2" thickBot="1" x14ac:dyDescent="0.4">
      <c r="A154" s="481"/>
      <c r="B154" s="481"/>
      <c r="C154" s="504"/>
      <c r="D154" s="504"/>
      <c r="E154" s="508"/>
      <c r="F154" s="508"/>
      <c r="G154" s="508"/>
      <c r="H154" s="508"/>
      <c r="I154" s="508"/>
      <c r="J154" s="508"/>
      <c r="K154" s="508"/>
      <c r="L154" s="504"/>
      <c r="M154" s="504"/>
      <c r="N154" s="504"/>
      <c r="O154" s="508"/>
      <c r="P154" s="504"/>
    </row>
    <row r="155" spans="1:24" s="503" customFormat="1" ht="30.75" customHeight="1" outlineLevel="2" thickBot="1" x14ac:dyDescent="0.4">
      <c r="A155" s="481"/>
      <c r="B155" s="481"/>
      <c r="C155" s="509"/>
      <c r="D155" s="509" t="s">
        <v>712</v>
      </c>
      <c r="E155" s="510" t="s">
        <v>729</v>
      </c>
      <c r="F155" s="511" t="s">
        <v>729</v>
      </c>
      <c r="G155" s="511" t="s">
        <v>729</v>
      </c>
      <c r="H155" s="511" t="s">
        <v>729</v>
      </c>
      <c r="I155" s="511" t="s">
        <v>729</v>
      </c>
      <c r="J155" s="511" t="s">
        <v>729</v>
      </c>
      <c r="K155" s="511" t="s">
        <v>729</v>
      </c>
      <c r="L155" s="511" t="s">
        <v>729</v>
      </c>
      <c r="M155" s="511" t="s">
        <v>729</v>
      </c>
      <c r="N155" s="511" t="s">
        <v>729</v>
      </c>
      <c r="O155" s="511" t="s">
        <v>729</v>
      </c>
      <c r="P155" s="504"/>
    </row>
    <row r="156" spans="1:24" s="503" customFormat="1" ht="30.75" customHeight="1" outlineLevel="2" thickBot="1" x14ac:dyDescent="0.4">
      <c r="A156" s="481"/>
      <c r="B156" s="481"/>
      <c r="C156" s="509"/>
      <c r="D156" s="509" t="s">
        <v>714</v>
      </c>
      <c r="E156" s="510"/>
      <c r="F156" s="512"/>
      <c r="G156" s="511"/>
      <c r="H156" s="511"/>
      <c r="I156" s="511"/>
      <c r="J156" s="511"/>
      <c r="K156" s="511"/>
      <c r="L156" s="510"/>
      <c r="M156" s="510"/>
      <c r="N156" s="513"/>
      <c r="O156" s="510"/>
      <c r="P156" s="504"/>
    </row>
  </sheetData>
  <sheetProtection algorithmName="SHA-512" hashValue="eU9QUaoHcboP1iSKo6F5tbw1G8m/y3CzRcbjc6n6cMGSjxlMKrSN9ARUQCrheRhf8IUnae4vCsZK1xn/B0utrA==" saltValue="nrB0eSFFzZKGg/8oDJtbyA==" spinCount="100000" sheet="1" objects="1" scenarios="1"/>
  <mergeCells count="66">
    <mergeCell ref="G145:H145"/>
    <mergeCell ref="O147:O148"/>
    <mergeCell ref="N147:N148"/>
    <mergeCell ref="C147:D148"/>
    <mergeCell ref="L147:M147"/>
    <mergeCell ref="E147:K147"/>
    <mergeCell ref="O119:O120"/>
    <mergeCell ref="G131:H131"/>
    <mergeCell ref="C133:D134"/>
    <mergeCell ref="E133:K133"/>
    <mergeCell ref="L133:M133"/>
    <mergeCell ref="N133:N134"/>
    <mergeCell ref="O133:O134"/>
    <mergeCell ref="G117:H117"/>
    <mergeCell ref="C119:D120"/>
    <mergeCell ref="E119:K119"/>
    <mergeCell ref="L119:M119"/>
    <mergeCell ref="O91:O92"/>
    <mergeCell ref="C105:D106"/>
    <mergeCell ref="E105:K105"/>
    <mergeCell ref="N105:N106"/>
    <mergeCell ref="O105:O106"/>
    <mergeCell ref="N91:N92"/>
    <mergeCell ref="L105:M105"/>
    <mergeCell ref="G103:H103"/>
    <mergeCell ref="C91:D92"/>
    <mergeCell ref="E91:K91"/>
    <mergeCell ref="L91:M91"/>
    <mergeCell ref="N119:N120"/>
    <mergeCell ref="G89:H89"/>
    <mergeCell ref="O63:O64"/>
    <mergeCell ref="C77:D78"/>
    <mergeCell ref="E77:K77"/>
    <mergeCell ref="N77:N78"/>
    <mergeCell ref="O77:O78"/>
    <mergeCell ref="N63:N64"/>
    <mergeCell ref="L77:M77"/>
    <mergeCell ref="G75:H75"/>
    <mergeCell ref="C63:D64"/>
    <mergeCell ref="E63:K63"/>
    <mergeCell ref="L63:M63"/>
    <mergeCell ref="G61:H61"/>
    <mergeCell ref="C49:D50"/>
    <mergeCell ref="E49:K49"/>
    <mergeCell ref="N49:N50"/>
    <mergeCell ref="O49:O50"/>
    <mergeCell ref="L49:M49"/>
    <mergeCell ref="O6:O7"/>
    <mergeCell ref="L6:M6"/>
    <mergeCell ref="G47:H47"/>
    <mergeCell ref="O20:O21"/>
    <mergeCell ref="C34:D35"/>
    <mergeCell ref="E34:K34"/>
    <mergeCell ref="N34:N35"/>
    <mergeCell ref="O34:O35"/>
    <mergeCell ref="N20:N21"/>
    <mergeCell ref="L34:M34"/>
    <mergeCell ref="G32:H32"/>
    <mergeCell ref="C20:D21"/>
    <mergeCell ref="E20:K20"/>
    <mergeCell ref="L20:M20"/>
    <mergeCell ref="G4:H4"/>
    <mergeCell ref="G18:H18"/>
    <mergeCell ref="C6:D7"/>
    <mergeCell ref="E6:K6"/>
    <mergeCell ref="N6:N7"/>
  </mergeCells>
  <conditionalFormatting sqref="B4">
    <cfRule type="expression" dxfId="634" priority="124">
      <formula>E4="yes"</formula>
    </cfRule>
  </conditionalFormatting>
  <conditionalFormatting sqref="B18">
    <cfRule type="expression" dxfId="633" priority="122">
      <formula>E18="yes"</formula>
    </cfRule>
  </conditionalFormatting>
  <conditionalFormatting sqref="B32">
    <cfRule type="expression" dxfId="632" priority="120">
      <formula>E32="yes"</formula>
    </cfRule>
  </conditionalFormatting>
  <conditionalFormatting sqref="B47">
    <cfRule type="expression" dxfId="631" priority="116">
      <formula>E47="yes"</formula>
    </cfRule>
  </conditionalFormatting>
  <conditionalFormatting sqref="B61">
    <cfRule type="expression" dxfId="630" priority="114">
      <formula>E61="yes"</formula>
    </cfRule>
  </conditionalFormatting>
  <conditionalFormatting sqref="B75">
    <cfRule type="expression" dxfId="629" priority="112">
      <formula>E75="yes"</formula>
    </cfRule>
  </conditionalFormatting>
  <conditionalFormatting sqref="B89">
    <cfRule type="expression" dxfId="628" priority="110">
      <formula>E89="yes"</formula>
    </cfRule>
  </conditionalFormatting>
  <conditionalFormatting sqref="B103">
    <cfRule type="expression" dxfId="627" priority="108">
      <formula>E103="yes"</formula>
    </cfRule>
  </conditionalFormatting>
  <conditionalFormatting sqref="C26:O26 C22:N22 C23:K25 C36:K40 C55:O55 C51:N54 C67:O69 C65:L66 C82:O83 C79:K80 C97:O97 C93:K96 C111:O111 C107:K107 C108:G110 E81:K81 C139:O139 C135:K135 C136:G138 C125:O125 C121:K121 C122:G124 C8:D12 L8:O12">
    <cfRule type="expression" dxfId="626" priority="104">
      <formula>$D8=0</formula>
    </cfRule>
  </conditionalFormatting>
  <conditionalFormatting sqref="C12">
    <cfRule type="expression" dxfId="625" priority="103">
      <formula>$D12=0</formula>
    </cfRule>
  </conditionalFormatting>
  <conditionalFormatting sqref="D12">
    <cfRule type="expression" dxfId="624" priority="102">
      <formula>$D12=0</formula>
    </cfRule>
  </conditionalFormatting>
  <conditionalFormatting sqref="N23:N25">
    <cfRule type="expression" dxfId="623" priority="101">
      <formula>$D23=0</formula>
    </cfRule>
  </conditionalFormatting>
  <conditionalFormatting sqref="C26">
    <cfRule type="expression" dxfId="622" priority="100">
      <formula>$D26=0</formula>
    </cfRule>
  </conditionalFormatting>
  <conditionalFormatting sqref="D26">
    <cfRule type="expression" dxfId="621" priority="99">
      <formula>$D26=0</formula>
    </cfRule>
  </conditionalFormatting>
  <conditionalFormatting sqref="N36:O40">
    <cfRule type="expression" dxfId="620" priority="98">
      <formula>$D36=0</formula>
    </cfRule>
  </conditionalFormatting>
  <conditionalFormatting sqref="C40">
    <cfRule type="expression" dxfId="619" priority="97">
      <formula>$D40=0</formula>
    </cfRule>
  </conditionalFormatting>
  <conditionalFormatting sqref="D40">
    <cfRule type="expression" dxfId="618" priority="96">
      <formula>$D40=0</formula>
    </cfRule>
  </conditionalFormatting>
  <conditionalFormatting sqref="L37 L40">
    <cfRule type="expression" dxfId="617" priority="62">
      <formula>$D37=0</formula>
    </cfRule>
  </conditionalFormatting>
  <conditionalFormatting sqref="L38:L39">
    <cfRule type="expression" dxfId="616" priority="61">
      <formula>$D38=0</formula>
    </cfRule>
  </conditionalFormatting>
  <conditionalFormatting sqref="M37">
    <cfRule type="expression" dxfId="615" priority="60">
      <formula>$D37=0</formula>
    </cfRule>
  </conditionalFormatting>
  <conditionalFormatting sqref="C55">
    <cfRule type="expression" dxfId="614" priority="91">
      <formula>$D55=0</formula>
    </cfRule>
  </conditionalFormatting>
  <conditionalFormatting sqref="D55">
    <cfRule type="expression" dxfId="613" priority="90">
      <formula>$D55=0</formula>
    </cfRule>
  </conditionalFormatting>
  <conditionalFormatting sqref="N65:N66">
    <cfRule type="expression" dxfId="612" priority="89">
      <formula>$D65=0</formula>
    </cfRule>
  </conditionalFormatting>
  <conditionalFormatting sqref="C69">
    <cfRule type="expression" dxfId="611" priority="88">
      <formula>$D69=0</formula>
    </cfRule>
  </conditionalFormatting>
  <conditionalFormatting sqref="D69">
    <cfRule type="expression" dxfId="610" priority="87">
      <formula>$D69=0</formula>
    </cfRule>
  </conditionalFormatting>
  <conditionalFormatting sqref="C81:D81 N79:O81">
    <cfRule type="expression" dxfId="609" priority="86">
      <formula>$D79=0</formula>
    </cfRule>
  </conditionalFormatting>
  <conditionalFormatting sqref="C83">
    <cfRule type="expression" dxfId="608" priority="85">
      <formula>$D83=0</formula>
    </cfRule>
  </conditionalFormatting>
  <conditionalFormatting sqref="D83">
    <cfRule type="expression" dxfId="607" priority="84">
      <formula>$D83=0</formula>
    </cfRule>
  </conditionalFormatting>
  <conditionalFormatting sqref="N93:O96">
    <cfRule type="expression" dxfId="606" priority="83">
      <formula>$D93=0</formula>
    </cfRule>
  </conditionalFormatting>
  <conditionalFormatting sqref="C97">
    <cfRule type="expression" dxfId="605" priority="82">
      <formula>$D97=0</formula>
    </cfRule>
  </conditionalFormatting>
  <conditionalFormatting sqref="D97">
    <cfRule type="expression" dxfId="604" priority="81">
      <formula>$D97=0</formula>
    </cfRule>
  </conditionalFormatting>
  <conditionalFormatting sqref="N107:O109 J110:O110 J108:K109">
    <cfRule type="expression" dxfId="603" priority="80">
      <formula>$D107=0</formula>
    </cfRule>
  </conditionalFormatting>
  <conditionalFormatting sqref="C111">
    <cfRule type="expression" dxfId="602" priority="79">
      <formula>$D111=0</formula>
    </cfRule>
  </conditionalFormatting>
  <conditionalFormatting sqref="D111">
    <cfRule type="expression" dxfId="601" priority="78">
      <formula>$D111=0</formula>
    </cfRule>
  </conditionalFormatting>
  <conditionalFormatting sqref="L23">
    <cfRule type="expression" dxfId="600" priority="77">
      <formula>$D23=0</formula>
    </cfRule>
  </conditionalFormatting>
  <conditionalFormatting sqref="L24:L25">
    <cfRule type="expression" dxfId="599" priority="76">
      <formula>$D24=0</formula>
    </cfRule>
  </conditionalFormatting>
  <conditionalFormatting sqref="M38">
    <cfRule type="expression" dxfId="598" priority="59">
      <formula>$D38=0</formula>
    </cfRule>
  </conditionalFormatting>
  <conditionalFormatting sqref="M39">
    <cfRule type="expression" dxfId="597" priority="58">
      <formula>$D39=0</formula>
    </cfRule>
  </conditionalFormatting>
  <conditionalFormatting sqref="L36:M36">
    <cfRule type="expression" dxfId="596" priority="63">
      <formula>$D36=0</formula>
    </cfRule>
  </conditionalFormatting>
  <conditionalFormatting sqref="O65:O66">
    <cfRule type="expression" dxfId="595" priority="39">
      <formula>$D65=0</formula>
    </cfRule>
  </conditionalFormatting>
  <conditionalFormatting sqref="H108:H110">
    <cfRule type="expression" dxfId="594" priority="35">
      <formula>$D108=0</formula>
    </cfRule>
  </conditionalFormatting>
  <conditionalFormatting sqref="M24">
    <cfRule type="expression" dxfId="593" priority="65">
      <formula>$D24=0</formula>
    </cfRule>
  </conditionalFormatting>
  <conditionalFormatting sqref="M23">
    <cfRule type="expression" dxfId="592" priority="66">
      <formula>$D23=0</formula>
    </cfRule>
  </conditionalFormatting>
  <conditionalFormatting sqref="M25">
    <cfRule type="expression" dxfId="591" priority="64">
      <formula>$D25=0</formula>
    </cfRule>
  </conditionalFormatting>
  <conditionalFormatting sqref="M40">
    <cfRule type="expression" dxfId="590" priority="57">
      <formula>$D40=0</formula>
    </cfRule>
  </conditionalFormatting>
  <conditionalFormatting sqref="N135:O137 J138:O138 J136:K137">
    <cfRule type="expression" dxfId="589" priority="23">
      <formula>$D135=0</formula>
    </cfRule>
  </conditionalFormatting>
  <conditionalFormatting sqref="C139">
    <cfRule type="expression" dxfId="588" priority="22">
      <formula>$D139=0</formula>
    </cfRule>
  </conditionalFormatting>
  <conditionalFormatting sqref="M65:M66">
    <cfRule type="expression" dxfId="587" priority="54">
      <formula>$D65=0</formula>
    </cfRule>
  </conditionalFormatting>
  <conditionalFormatting sqref="L79:L81">
    <cfRule type="expression" dxfId="586" priority="53">
      <formula>$D79=0</formula>
    </cfRule>
  </conditionalFormatting>
  <conditionalFormatting sqref="M79:M81">
    <cfRule type="expression" dxfId="585" priority="52">
      <formula>$D79=0</formula>
    </cfRule>
  </conditionalFormatting>
  <conditionalFormatting sqref="L93:L96">
    <cfRule type="expression" dxfId="584" priority="51">
      <formula>$D93=0</formula>
    </cfRule>
  </conditionalFormatting>
  <conditionalFormatting sqref="M93:M96">
    <cfRule type="expression" dxfId="583" priority="50">
      <formula>$D93=0</formula>
    </cfRule>
  </conditionalFormatting>
  <conditionalFormatting sqref="L107:L109">
    <cfRule type="expression" dxfId="582" priority="49">
      <formula>$D107=0</formula>
    </cfRule>
  </conditionalFormatting>
  <conditionalFormatting sqref="M107:M109">
    <cfRule type="expression" dxfId="581" priority="48">
      <formula>$D107=0</formula>
    </cfRule>
  </conditionalFormatting>
  <conditionalFormatting sqref="C153">
    <cfRule type="expression" dxfId="580" priority="14">
      <formula>$D153=0</formula>
    </cfRule>
  </conditionalFormatting>
  <conditionalFormatting sqref="D153:D154">
    <cfRule type="expression" dxfId="579" priority="13">
      <formula>$D153=0</formula>
    </cfRule>
  </conditionalFormatting>
  <conditionalFormatting sqref="O22:O24">
    <cfRule type="expression" dxfId="578" priority="44">
      <formula>$D22=0</formula>
    </cfRule>
  </conditionalFormatting>
  <conditionalFormatting sqref="O25">
    <cfRule type="expression" dxfId="577" priority="43">
      <formula>$D25=0</formula>
    </cfRule>
  </conditionalFormatting>
  <conditionalFormatting sqref="O51:O52">
    <cfRule type="expression" dxfId="576" priority="42">
      <formula>$D51=0</formula>
    </cfRule>
  </conditionalFormatting>
  <conditionalFormatting sqref="O54">
    <cfRule type="expression" dxfId="575" priority="41">
      <formula>$D54=0</formula>
    </cfRule>
  </conditionalFormatting>
  <conditionalFormatting sqref="O53">
    <cfRule type="expression" dxfId="574" priority="40">
      <formula>$D53=0</formula>
    </cfRule>
  </conditionalFormatting>
  <conditionalFormatting sqref="I108:I110">
    <cfRule type="expression" dxfId="573" priority="33">
      <formula>$D108=0</formula>
    </cfRule>
  </conditionalFormatting>
  <conditionalFormatting sqref="B117">
    <cfRule type="expression" dxfId="572" priority="32">
      <formula>E117="yes"</formula>
    </cfRule>
  </conditionalFormatting>
  <conditionalFormatting sqref="N121:O123 J124:O124 J122:K123">
    <cfRule type="expression" dxfId="571" priority="31">
      <formula>$D121=0</formula>
    </cfRule>
  </conditionalFormatting>
  <conditionalFormatting sqref="C125">
    <cfRule type="expression" dxfId="570" priority="30">
      <formula>$D125=0</formula>
    </cfRule>
  </conditionalFormatting>
  <conditionalFormatting sqref="D125">
    <cfRule type="expression" dxfId="569" priority="29">
      <formula>$D125=0</formula>
    </cfRule>
  </conditionalFormatting>
  <conditionalFormatting sqref="L121:L123">
    <cfRule type="expression" dxfId="568" priority="28">
      <formula>$D121=0</formula>
    </cfRule>
  </conditionalFormatting>
  <conditionalFormatting sqref="M121:M123">
    <cfRule type="expression" dxfId="567" priority="27">
      <formula>$D121=0</formula>
    </cfRule>
  </conditionalFormatting>
  <conditionalFormatting sqref="H122:H124">
    <cfRule type="expression" dxfId="566" priority="26">
      <formula>$D122=0</formula>
    </cfRule>
  </conditionalFormatting>
  <conditionalFormatting sqref="I122:I124">
    <cfRule type="expression" dxfId="565" priority="25">
      <formula>$D122=0</formula>
    </cfRule>
  </conditionalFormatting>
  <conditionalFormatting sqref="B131">
    <cfRule type="expression" dxfId="564" priority="24">
      <formula>E131="yes"</formula>
    </cfRule>
  </conditionalFormatting>
  <conditionalFormatting sqref="D139">
    <cfRule type="expression" dxfId="563" priority="21">
      <formula>$D139=0</formula>
    </cfRule>
  </conditionalFormatting>
  <conditionalFormatting sqref="L135:L137">
    <cfRule type="expression" dxfId="562" priority="20">
      <formula>$D135=0</formula>
    </cfRule>
  </conditionalFormatting>
  <conditionalFormatting sqref="M135:M137">
    <cfRule type="expression" dxfId="561" priority="19">
      <formula>$D135=0</formula>
    </cfRule>
  </conditionalFormatting>
  <conditionalFormatting sqref="H136:H138">
    <cfRule type="expression" dxfId="560" priority="18">
      <formula>$D136=0</formula>
    </cfRule>
  </conditionalFormatting>
  <conditionalFormatting sqref="I136:I138">
    <cfRule type="expression" dxfId="559" priority="17">
      <formula>$D136=0</formula>
    </cfRule>
  </conditionalFormatting>
  <conditionalFormatting sqref="B145">
    <cfRule type="expression" dxfId="558" priority="16">
      <formula>E145="yes"</formula>
    </cfRule>
  </conditionalFormatting>
  <conditionalFormatting sqref="C149:D154">
    <cfRule type="expression" dxfId="557" priority="15">
      <formula>$D149=0</formula>
    </cfRule>
  </conditionalFormatting>
  <conditionalFormatting sqref="N149:O154">
    <cfRule type="expression" dxfId="556" priority="5">
      <formula>$D149=0</formula>
    </cfRule>
  </conditionalFormatting>
  <conditionalFormatting sqref="L149:L154">
    <cfRule type="expression" dxfId="555" priority="4">
      <formula>$D149=0</formula>
    </cfRule>
  </conditionalFormatting>
  <conditionalFormatting sqref="M149:M154">
    <cfRule type="expression" dxfId="554" priority="3">
      <formula>$D149=0</formula>
    </cfRule>
  </conditionalFormatting>
  <conditionalFormatting sqref="E8:K12">
    <cfRule type="expression" dxfId="553" priority="2">
      <formula>$D8=0</formula>
    </cfRule>
  </conditionalFormatting>
  <conditionalFormatting sqref="E149:K154">
    <cfRule type="expression" dxfId="552" priority="1">
      <formula>$D149=0</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44"/>
  <sheetViews>
    <sheetView zoomScale="50" zoomScaleNormal="50" workbookViewId="0">
      <pane ySplit="1" topLeftCell="A2" activePane="bottomLeft" state="frozen"/>
      <selection pane="bottomLeft" activeCell="I12" sqref="I12"/>
    </sheetView>
  </sheetViews>
  <sheetFormatPr defaultColWidth="9.453125" defaultRowHeight="14.5" outlineLevelRow="2" x14ac:dyDescent="0.35"/>
  <cols>
    <col min="1" max="1" width="3.453125" style="481" customWidth="1"/>
    <col min="2" max="2" width="5.453125" style="481" customWidth="1"/>
    <col min="3" max="3" width="14.54296875" style="485" customWidth="1"/>
    <col min="4" max="4" width="60.54296875" style="485" customWidth="1"/>
    <col min="5" max="6" width="20" style="485" customWidth="1"/>
    <col min="7" max="11" width="20" style="523" customWidth="1"/>
    <col min="12" max="13" width="28" style="523" customWidth="1"/>
    <col min="14" max="14" width="20" style="523" customWidth="1"/>
    <col min="15" max="15" width="33.453125" style="523" customWidth="1"/>
    <col min="16" max="16" width="53.54296875" style="485" customWidth="1"/>
    <col min="17" max="17" width="27" style="485" customWidth="1"/>
    <col min="18" max="16384" width="9.453125" style="485"/>
  </cols>
  <sheetData>
    <row r="1" spans="1:24" s="479" customFormat="1" ht="37.5" customHeight="1" thickBot="1" x14ac:dyDescent="0.55000000000000004">
      <c r="A1" s="477"/>
      <c r="B1" s="477"/>
      <c r="C1" s="477" t="s">
        <v>676</v>
      </c>
      <c r="D1" s="478" t="s">
        <v>778</v>
      </c>
      <c r="G1" s="480"/>
      <c r="H1" s="480"/>
      <c r="I1" s="480"/>
      <c r="J1" s="480"/>
      <c r="K1" s="480"/>
      <c r="L1" s="480"/>
      <c r="M1" s="480"/>
      <c r="N1" s="480"/>
      <c r="O1" s="480"/>
      <c r="R1" s="479">
        <f>IF(SUM(R6:R40)&gt;0,1,0)</f>
        <v>1</v>
      </c>
      <c r="S1" s="479">
        <f t="shared" ref="S1:X1" si="0">IF(SUM(S6:S40)&gt;0,1,0)</f>
        <v>1</v>
      </c>
      <c r="T1" s="479">
        <f t="shared" si="0"/>
        <v>1</v>
      </c>
      <c r="U1" s="479">
        <f t="shared" si="0"/>
        <v>1</v>
      </c>
      <c r="V1" s="479">
        <f t="shared" si="0"/>
        <v>1</v>
      </c>
      <c r="W1" s="479">
        <f t="shared" si="0"/>
        <v>0</v>
      </c>
      <c r="X1" s="479">
        <f t="shared" si="0"/>
        <v>0</v>
      </c>
    </row>
    <row r="2" spans="1:24" s="481" customFormat="1" ht="26.25" customHeight="1" thickTop="1" thickBot="1" x14ac:dyDescent="0.4">
      <c r="O2" s="482"/>
    </row>
    <row r="3" spans="1:24" ht="17.25" customHeight="1" thickBot="1" x14ac:dyDescent="0.4">
      <c r="C3" s="483" t="s">
        <v>677</v>
      </c>
      <c r="D3" s="484" t="s">
        <v>678</v>
      </c>
      <c r="E3" s="481"/>
      <c r="F3" s="481"/>
      <c r="G3" s="482"/>
      <c r="H3" s="482"/>
      <c r="I3" s="482"/>
      <c r="J3" s="482"/>
      <c r="K3" s="482"/>
      <c r="L3" s="482"/>
      <c r="M3" s="482"/>
      <c r="N3" s="482"/>
      <c r="O3" s="482"/>
      <c r="P3" s="481"/>
    </row>
    <row r="4" spans="1:24" s="492" customFormat="1" ht="36.75" customHeight="1" thickBot="1" x14ac:dyDescent="0.7">
      <c r="A4" s="481"/>
      <c r="B4" s="486" t="s">
        <v>679</v>
      </c>
      <c r="C4" s="487" t="s">
        <v>294</v>
      </c>
      <c r="D4" s="514" t="str">
        <f>VLOOKUP(C4,overview_of_services!$B$2:$I$88,3,FALSE)</f>
        <v>Occupancy control for indoor lighting</v>
      </c>
      <c r="E4" s="489"/>
      <c r="F4" s="490" t="s">
        <v>680</v>
      </c>
      <c r="G4" s="578" t="str">
        <f>VLOOKUP(C4,overview_of_services!$B$2:$I$88,2,FALSE)</f>
        <v>Artificial lighting control</v>
      </c>
      <c r="H4" s="578"/>
      <c r="I4" s="490"/>
      <c r="J4" s="491"/>
      <c r="K4" s="491"/>
      <c r="L4" s="491"/>
      <c r="M4" s="491"/>
      <c r="N4" s="491"/>
      <c r="O4" s="491"/>
      <c r="R4" s="492" t="s">
        <v>681</v>
      </c>
      <c r="S4" s="492">
        <f>ROW()</f>
        <v>4</v>
      </c>
    </row>
    <row r="5" spans="1:24" ht="5.25" customHeight="1" x14ac:dyDescent="0.35">
      <c r="C5" s="493"/>
      <c r="D5" s="493"/>
      <c r="E5" s="493"/>
      <c r="F5" s="493"/>
      <c r="G5" s="493"/>
      <c r="H5" s="493"/>
      <c r="I5" s="493"/>
      <c r="J5" s="493"/>
      <c r="K5" s="493"/>
      <c r="L5" s="493"/>
      <c r="M5" s="493"/>
      <c r="N5" s="493"/>
      <c r="O5" s="494"/>
      <c r="P5" s="481"/>
    </row>
    <row r="6" spans="1:24" ht="20.25" customHeight="1" outlineLevel="1" x14ac:dyDescent="0.35">
      <c r="C6" s="575" t="s">
        <v>682</v>
      </c>
      <c r="D6" s="575"/>
      <c r="E6" s="577" t="s">
        <v>683</v>
      </c>
      <c r="F6" s="577"/>
      <c r="G6" s="577"/>
      <c r="H6" s="577"/>
      <c r="I6" s="577"/>
      <c r="J6" s="577"/>
      <c r="K6" s="577"/>
      <c r="L6" s="573" t="s">
        <v>684</v>
      </c>
      <c r="M6" s="574"/>
      <c r="N6" s="569" t="s">
        <v>685</v>
      </c>
      <c r="O6" s="571" t="s">
        <v>686</v>
      </c>
      <c r="P6" s="481"/>
    </row>
    <row r="7" spans="1:24" ht="36.75" customHeight="1" outlineLevel="1" thickBot="1" x14ac:dyDescent="0.4">
      <c r="C7" s="576"/>
      <c r="D7" s="576"/>
      <c r="E7" s="495" t="s">
        <v>687</v>
      </c>
      <c r="F7" s="495" t="s">
        <v>688</v>
      </c>
      <c r="G7" s="495" t="s">
        <v>689</v>
      </c>
      <c r="H7" s="495" t="s">
        <v>690</v>
      </c>
      <c r="I7" s="495" t="s">
        <v>616</v>
      </c>
      <c r="J7" s="495" t="s">
        <v>691</v>
      </c>
      <c r="K7" s="495" t="s">
        <v>692</v>
      </c>
      <c r="L7" s="496" t="s">
        <v>693</v>
      </c>
      <c r="M7" s="496" t="s">
        <v>694</v>
      </c>
      <c r="N7" s="570"/>
      <c r="O7" s="572"/>
      <c r="P7" s="481"/>
    </row>
    <row r="8" spans="1:24" s="503" customFormat="1" ht="35.25" customHeight="1" outlineLevel="1" thickTop="1" x14ac:dyDescent="0.5">
      <c r="A8" s="481"/>
      <c r="B8" s="481"/>
      <c r="C8" s="497" t="s">
        <v>695</v>
      </c>
      <c r="D8" s="498" t="str">
        <f>VLOOKUP(C4,overview_of_services!$B$2:$I$88,4,FALSE)</f>
        <v>Manual on/off switch</v>
      </c>
      <c r="E8" s="499">
        <v>0</v>
      </c>
      <c r="F8" s="499">
        <v>0</v>
      </c>
      <c r="G8" s="499">
        <v>0</v>
      </c>
      <c r="H8" s="499">
        <v>0</v>
      </c>
      <c r="I8" s="499">
        <v>0</v>
      </c>
      <c r="J8" s="499">
        <v>0</v>
      </c>
      <c r="K8" s="499">
        <v>0</v>
      </c>
      <c r="L8" s="500" t="s">
        <v>696</v>
      </c>
      <c r="M8" s="500" t="s">
        <v>696</v>
      </c>
      <c r="N8" s="501">
        <v>0</v>
      </c>
      <c r="O8" s="502" t="s">
        <v>697</v>
      </c>
      <c r="P8" s="504"/>
      <c r="R8" s="504">
        <f t="shared" ref="R8:S12" si="1">IF(E8=0,0,(IF(E8="+",1,(IF(E8="++",2,(IF(E8="+++",3,(IF(E8="++++",4,(IF(E8="-",-1,(IF(E8="--",-2,(IF(E8="---",-3,(IF(E8="----",-4,"NA")))))))))))))))))</f>
        <v>0</v>
      </c>
      <c r="S8" s="504">
        <f t="shared" si="1"/>
        <v>0</v>
      </c>
      <c r="T8" s="504">
        <f t="shared" ref="T8:X12" si="2">IF(G8=0,0,(IF(G8="+",1,(IF(G8="++",2,(IF(G8="+++",3,(IF(G8="++++",4,(IF(G8="-",-1,(IF(G8="--",-2,(IF(G8="---",-3,(IF(G8="----",-4,"NA")))))))))))))))))</f>
        <v>0</v>
      </c>
      <c r="U8" s="504">
        <f t="shared" si="2"/>
        <v>0</v>
      </c>
      <c r="V8" s="504">
        <f t="shared" si="2"/>
        <v>0</v>
      </c>
      <c r="W8" s="504">
        <f t="shared" si="2"/>
        <v>0</v>
      </c>
      <c r="X8" s="504">
        <f t="shared" si="2"/>
        <v>0</v>
      </c>
    </row>
    <row r="9" spans="1:24" s="503" customFormat="1" ht="35.25" customHeight="1" outlineLevel="1" x14ac:dyDescent="0.5">
      <c r="A9" s="481"/>
      <c r="B9" s="481"/>
      <c r="C9" s="505" t="s">
        <v>699</v>
      </c>
      <c r="D9" s="506" t="str">
        <f>VLOOKUP(C4,overview_of_services!$B$2:$I$88,5,FALSE)</f>
        <v>Manual on/off switch + additional sweeping extinction signal</v>
      </c>
      <c r="E9" s="499" t="s">
        <v>700</v>
      </c>
      <c r="F9" s="499">
        <v>0</v>
      </c>
      <c r="G9" s="499" t="s">
        <v>700</v>
      </c>
      <c r="H9" s="499" t="s">
        <v>700</v>
      </c>
      <c r="I9" s="499">
        <v>0</v>
      </c>
      <c r="J9" s="499">
        <v>0</v>
      </c>
      <c r="K9" s="499">
        <v>0</v>
      </c>
      <c r="L9" s="500" t="s">
        <v>708</v>
      </c>
      <c r="M9" s="500" t="s">
        <v>718</v>
      </c>
      <c r="N9" s="501">
        <v>1</v>
      </c>
      <c r="O9" s="502" t="s">
        <v>779</v>
      </c>
      <c r="P9" s="504"/>
      <c r="R9" s="504">
        <f t="shared" si="1"/>
        <v>1</v>
      </c>
      <c r="S9" s="504">
        <f t="shared" si="1"/>
        <v>0</v>
      </c>
      <c r="T9" s="504">
        <f t="shared" si="2"/>
        <v>1</v>
      </c>
      <c r="U9" s="504">
        <f t="shared" si="2"/>
        <v>1</v>
      </c>
      <c r="V9" s="504">
        <f t="shared" si="2"/>
        <v>0</v>
      </c>
      <c r="W9" s="504">
        <f t="shared" si="2"/>
        <v>0</v>
      </c>
      <c r="X9" s="504">
        <f t="shared" si="2"/>
        <v>0</v>
      </c>
    </row>
    <row r="10" spans="1:24" s="503" customFormat="1" ht="35.25" customHeight="1" outlineLevel="1" x14ac:dyDescent="0.5">
      <c r="A10" s="481"/>
      <c r="B10" s="481"/>
      <c r="C10" s="505" t="s">
        <v>703</v>
      </c>
      <c r="D10" s="506" t="str">
        <f>VLOOKUP(C4,overview_of_services!$B$2:$I$88,6,FALSE)</f>
        <v>Automatic detection (auto on / dimmed or auto off)</v>
      </c>
      <c r="E10" s="507" t="s">
        <v>704</v>
      </c>
      <c r="F10" s="499">
        <v>0</v>
      </c>
      <c r="G10" s="507" t="s">
        <v>704</v>
      </c>
      <c r="H10" s="507" t="s">
        <v>704</v>
      </c>
      <c r="I10" s="499">
        <v>0</v>
      </c>
      <c r="J10" s="499">
        <v>0</v>
      </c>
      <c r="K10" s="499">
        <v>0</v>
      </c>
      <c r="L10" s="500" t="s">
        <v>708</v>
      </c>
      <c r="M10" s="500" t="s">
        <v>718</v>
      </c>
      <c r="N10" s="501">
        <v>5</v>
      </c>
      <c r="O10" s="502" t="s">
        <v>780</v>
      </c>
      <c r="P10" s="504"/>
      <c r="R10" s="504">
        <f t="shared" si="1"/>
        <v>2</v>
      </c>
      <c r="S10" s="504">
        <f t="shared" si="1"/>
        <v>0</v>
      </c>
      <c r="T10" s="504">
        <f t="shared" si="2"/>
        <v>2</v>
      </c>
      <c r="U10" s="504">
        <f t="shared" si="2"/>
        <v>2</v>
      </c>
      <c r="V10" s="504">
        <f t="shared" si="2"/>
        <v>0</v>
      </c>
      <c r="W10" s="504">
        <f t="shared" si="2"/>
        <v>0</v>
      </c>
      <c r="X10" s="504">
        <f t="shared" si="2"/>
        <v>0</v>
      </c>
    </row>
    <row r="11" spans="1:24" s="503" customFormat="1" ht="35.25" customHeight="1" outlineLevel="1" x14ac:dyDescent="0.5">
      <c r="A11" s="481"/>
      <c r="B11" s="481"/>
      <c r="C11" s="505" t="s">
        <v>706</v>
      </c>
      <c r="D11" s="506" t="str">
        <f>VLOOKUP(C4,overview_of_services!$B$2:$I$88,7,FALSE)</f>
        <v>Automatic detection (manual on / dimmed or auto off)</v>
      </c>
      <c r="E11" s="507" t="s">
        <v>704</v>
      </c>
      <c r="F11" s="499">
        <v>0</v>
      </c>
      <c r="G11" s="507" t="s">
        <v>704</v>
      </c>
      <c r="H11" s="507" t="s">
        <v>704</v>
      </c>
      <c r="I11" s="499">
        <v>0</v>
      </c>
      <c r="J11" s="499">
        <v>0</v>
      </c>
      <c r="K11" s="499">
        <v>0</v>
      </c>
      <c r="L11" s="500" t="s">
        <v>708</v>
      </c>
      <c r="M11" s="500" t="s">
        <v>708</v>
      </c>
      <c r="N11" s="501">
        <v>5</v>
      </c>
      <c r="O11" s="502" t="s">
        <v>780</v>
      </c>
      <c r="P11" s="504"/>
      <c r="R11" s="504">
        <f t="shared" si="1"/>
        <v>2</v>
      </c>
      <c r="S11" s="504">
        <f t="shared" si="1"/>
        <v>0</v>
      </c>
      <c r="T11" s="504">
        <f t="shared" si="2"/>
        <v>2</v>
      </c>
      <c r="U11" s="504">
        <f t="shared" si="2"/>
        <v>2</v>
      </c>
      <c r="V11" s="504">
        <f t="shared" si="2"/>
        <v>0</v>
      </c>
      <c r="W11" s="504">
        <f t="shared" si="2"/>
        <v>0</v>
      </c>
      <c r="X11" s="504">
        <f t="shared" si="2"/>
        <v>0</v>
      </c>
    </row>
    <row r="12" spans="1:24" s="503" customFormat="1" ht="35.25" customHeight="1" outlineLevel="1" x14ac:dyDescent="0.5">
      <c r="A12" s="481"/>
      <c r="B12" s="481"/>
      <c r="C12" s="505" t="s">
        <v>710</v>
      </c>
      <c r="D12" s="506">
        <f>VLOOKUP(C4,overview_of_services!$B$2:$I$88,8,FALSE)</f>
        <v>0</v>
      </c>
      <c r="E12" s="507"/>
      <c r="F12" s="499"/>
      <c r="G12" s="507"/>
      <c r="H12" s="507"/>
      <c r="I12" s="499"/>
      <c r="J12" s="499"/>
      <c r="K12" s="499"/>
      <c r="L12" s="500"/>
      <c r="M12" s="500"/>
      <c r="N12" s="501"/>
      <c r="O12" s="502"/>
      <c r="P12" s="504"/>
      <c r="R12" s="504">
        <f t="shared" si="1"/>
        <v>0</v>
      </c>
      <c r="S12" s="504">
        <f t="shared" si="1"/>
        <v>0</v>
      </c>
      <c r="T12" s="504">
        <f t="shared" si="2"/>
        <v>0</v>
      </c>
      <c r="U12" s="504">
        <f t="shared" si="2"/>
        <v>0</v>
      </c>
      <c r="V12" s="504">
        <f t="shared" si="2"/>
        <v>0</v>
      </c>
      <c r="W12" s="504">
        <f t="shared" si="2"/>
        <v>0</v>
      </c>
      <c r="X12" s="504">
        <f t="shared" si="2"/>
        <v>0</v>
      </c>
    </row>
    <row r="13" spans="1:24" s="503" customFormat="1" ht="6" customHeight="1" outlineLevel="2" thickBot="1" x14ac:dyDescent="0.4">
      <c r="A13" s="481"/>
      <c r="B13" s="481"/>
      <c r="C13" s="504"/>
      <c r="D13" s="504"/>
      <c r="E13" s="508"/>
      <c r="F13" s="508"/>
      <c r="G13" s="508"/>
      <c r="H13" s="508"/>
      <c r="I13" s="508"/>
      <c r="J13" s="508"/>
      <c r="K13" s="508"/>
      <c r="L13" s="504"/>
      <c r="M13" s="504"/>
      <c r="N13" s="504"/>
      <c r="O13" s="508"/>
      <c r="P13" s="504"/>
    </row>
    <row r="14" spans="1:24" s="503" customFormat="1" ht="30.75" customHeight="1" outlineLevel="2" thickBot="1" x14ac:dyDescent="0.4">
      <c r="A14" s="481"/>
      <c r="B14" s="481"/>
      <c r="C14" s="509"/>
      <c r="D14" s="509" t="s">
        <v>712</v>
      </c>
      <c r="E14" s="510" t="s">
        <v>729</v>
      </c>
      <c r="F14" s="511" t="s">
        <v>729</v>
      </c>
      <c r="G14" s="511" t="s">
        <v>729</v>
      </c>
      <c r="H14" s="511" t="s">
        <v>729</v>
      </c>
      <c r="I14" s="511" t="s">
        <v>729</v>
      </c>
      <c r="J14" s="511" t="s">
        <v>729</v>
      </c>
      <c r="K14" s="511" t="s">
        <v>729</v>
      </c>
      <c r="L14" s="511" t="s">
        <v>729</v>
      </c>
      <c r="M14" s="511" t="s">
        <v>729</v>
      </c>
      <c r="N14" s="511" t="s">
        <v>729</v>
      </c>
      <c r="O14" s="511" t="s">
        <v>729</v>
      </c>
      <c r="P14" s="504"/>
    </row>
    <row r="15" spans="1:24" s="503" customFormat="1" ht="30.75" customHeight="1" outlineLevel="2" thickBot="1" x14ac:dyDescent="0.4">
      <c r="A15" s="481"/>
      <c r="B15" s="481"/>
      <c r="C15" s="509"/>
      <c r="D15" s="509" t="s">
        <v>714</v>
      </c>
      <c r="E15" s="510" t="s">
        <v>30</v>
      </c>
      <c r="F15" s="512"/>
      <c r="G15" s="511"/>
      <c r="H15" s="511"/>
      <c r="I15" s="511"/>
      <c r="J15" s="511"/>
      <c r="K15" s="511"/>
      <c r="L15" s="510"/>
      <c r="M15" s="510"/>
      <c r="N15" s="510"/>
      <c r="O15" s="510"/>
      <c r="P15" s="504"/>
    </row>
    <row r="16" spans="1:24" ht="20.25" customHeight="1" outlineLevel="1" thickBot="1" x14ac:dyDescent="0.4">
      <c r="C16" s="481"/>
      <c r="D16" s="481"/>
      <c r="E16" s="481"/>
      <c r="F16" s="481"/>
      <c r="G16" s="482"/>
      <c r="H16" s="482"/>
      <c r="I16" s="482"/>
      <c r="J16" s="482"/>
      <c r="K16" s="482"/>
      <c r="L16" s="482"/>
      <c r="M16" s="482"/>
      <c r="N16" s="482"/>
      <c r="O16" s="482"/>
      <c r="P16" s="481"/>
    </row>
    <row r="17" spans="1:24" ht="17.25" customHeight="1" thickBot="1" x14ac:dyDescent="0.4">
      <c r="C17" s="483" t="s">
        <v>677</v>
      </c>
      <c r="D17" s="484" t="s">
        <v>678</v>
      </c>
      <c r="E17" s="481"/>
      <c r="F17" s="481"/>
      <c r="G17" s="482"/>
      <c r="H17" s="482"/>
      <c r="I17" s="482"/>
      <c r="J17" s="482"/>
      <c r="K17" s="482"/>
      <c r="L17" s="482"/>
      <c r="M17" s="482"/>
      <c r="N17" s="482"/>
      <c r="O17" s="482"/>
      <c r="P17" s="481"/>
    </row>
    <row r="18" spans="1:24" s="492" customFormat="1" ht="36.75" customHeight="1" thickBot="1" x14ac:dyDescent="0.7">
      <c r="A18" s="481"/>
      <c r="B18" s="486" t="s">
        <v>679</v>
      </c>
      <c r="C18" s="487" t="s">
        <v>304</v>
      </c>
      <c r="D18" s="514" t="str">
        <f>VLOOKUP(C18,overview_of_services!$B$2:$I$88,3,FALSE)</f>
        <v>Mood and time based control of lighting in buildings</v>
      </c>
      <c r="E18" s="489"/>
      <c r="F18" s="490" t="s">
        <v>680</v>
      </c>
      <c r="G18" s="578" t="str">
        <f>VLOOKUP(C18,overview_of_services!$B$2:$I$88,2,FALSE)</f>
        <v>Artificial lighting control</v>
      </c>
      <c r="H18" s="578"/>
      <c r="I18" s="490"/>
      <c r="J18" s="491"/>
      <c r="K18" s="491"/>
      <c r="L18" s="491"/>
      <c r="M18" s="491"/>
      <c r="N18" s="491"/>
      <c r="O18" s="491"/>
      <c r="R18" s="492" t="s">
        <v>681</v>
      </c>
      <c r="S18" s="492">
        <f>ROW()</f>
        <v>18</v>
      </c>
    </row>
    <row r="19" spans="1:24" ht="5.25" customHeight="1" x14ac:dyDescent="0.35">
      <c r="C19" s="493"/>
      <c r="D19" s="493"/>
      <c r="E19" s="493"/>
      <c r="F19" s="493"/>
      <c r="G19" s="493"/>
      <c r="H19" s="493"/>
      <c r="I19" s="493"/>
      <c r="J19" s="493"/>
      <c r="K19" s="493"/>
      <c r="L19" s="493"/>
      <c r="M19" s="493"/>
      <c r="N19" s="493"/>
      <c r="O19" s="494"/>
      <c r="P19" s="481"/>
    </row>
    <row r="20" spans="1:24" ht="20.25" customHeight="1" outlineLevel="1" x14ac:dyDescent="0.35">
      <c r="C20" s="575" t="s">
        <v>682</v>
      </c>
      <c r="D20" s="575"/>
      <c r="E20" s="577" t="s">
        <v>683</v>
      </c>
      <c r="F20" s="577"/>
      <c r="G20" s="577"/>
      <c r="H20" s="577"/>
      <c r="I20" s="577"/>
      <c r="J20" s="577"/>
      <c r="K20" s="577"/>
      <c r="L20" s="573" t="s">
        <v>684</v>
      </c>
      <c r="M20" s="574"/>
      <c r="N20" s="569" t="s">
        <v>685</v>
      </c>
      <c r="O20" s="571" t="s">
        <v>686</v>
      </c>
      <c r="P20" s="481"/>
    </row>
    <row r="21" spans="1:24" ht="36.75" customHeight="1" outlineLevel="1" thickBot="1" x14ac:dyDescent="0.4">
      <c r="C21" s="576"/>
      <c r="D21" s="576"/>
      <c r="E21" s="495" t="s">
        <v>687</v>
      </c>
      <c r="F21" s="495" t="s">
        <v>688</v>
      </c>
      <c r="G21" s="495" t="s">
        <v>689</v>
      </c>
      <c r="H21" s="495" t="s">
        <v>690</v>
      </c>
      <c r="I21" s="495" t="s">
        <v>616</v>
      </c>
      <c r="J21" s="495" t="s">
        <v>691</v>
      </c>
      <c r="K21" s="495" t="s">
        <v>692</v>
      </c>
      <c r="L21" s="496" t="s">
        <v>693</v>
      </c>
      <c r="M21" s="496" t="s">
        <v>694</v>
      </c>
      <c r="N21" s="570"/>
      <c r="O21" s="572"/>
      <c r="P21" s="481"/>
    </row>
    <row r="22" spans="1:24" s="503" customFormat="1" ht="35.25" customHeight="1" outlineLevel="1" thickTop="1" x14ac:dyDescent="0.5">
      <c r="A22" s="481"/>
      <c r="B22" s="481"/>
      <c r="C22" s="497" t="s">
        <v>695</v>
      </c>
      <c r="D22" s="498" t="str">
        <f>VLOOKUP(C18,overview_of_services!$B$2:$I$88,4,FALSE)</f>
        <v>Manual on/off</v>
      </c>
      <c r="E22" s="499">
        <v>0</v>
      </c>
      <c r="F22" s="499">
        <v>0</v>
      </c>
      <c r="G22" s="499">
        <v>0</v>
      </c>
      <c r="H22" s="499">
        <v>0</v>
      </c>
      <c r="I22" s="499">
        <v>0</v>
      </c>
      <c r="J22" s="499">
        <v>0</v>
      </c>
      <c r="K22" s="499">
        <v>0</v>
      </c>
      <c r="L22" s="500" t="s">
        <v>696</v>
      </c>
      <c r="M22" s="500" t="s">
        <v>696</v>
      </c>
      <c r="N22" s="501">
        <v>0</v>
      </c>
      <c r="O22" s="502" t="s">
        <v>697</v>
      </c>
      <c r="P22" s="504"/>
      <c r="R22" s="504">
        <f t="shared" ref="R22:S26" si="3">IF(E22=0,0,(IF(E22="+",1,(IF(E22="++",2,(IF(E22="+++",3,(IF(E22="++++",4,(IF(E22="-",-1,(IF(E22="--",-2,(IF(E22="---",-3,(IF(E22="----",-4,"NA")))))))))))))))))</f>
        <v>0</v>
      </c>
      <c r="S22" s="504">
        <f t="shared" si="3"/>
        <v>0</v>
      </c>
      <c r="T22" s="504">
        <f t="shared" ref="T22:X26" si="4">IF(G22=0,0,(IF(G22="+",1,(IF(G22="++",2,(IF(G22="+++",3,(IF(G22="++++",4,(IF(G22="-",-1,(IF(G22="--",-2,(IF(G22="---",-3,(IF(G22="----",-4,"NA")))))))))))))))))</f>
        <v>0</v>
      </c>
      <c r="U22" s="504">
        <f t="shared" si="4"/>
        <v>0</v>
      </c>
      <c r="V22" s="504">
        <f t="shared" si="4"/>
        <v>0</v>
      </c>
      <c r="W22" s="504">
        <f t="shared" si="4"/>
        <v>0</v>
      </c>
      <c r="X22" s="504">
        <f t="shared" si="4"/>
        <v>0</v>
      </c>
    </row>
    <row r="23" spans="1:24" s="503" customFormat="1" ht="35.25" customHeight="1" outlineLevel="1" x14ac:dyDescent="0.5">
      <c r="A23" s="481"/>
      <c r="B23" s="481"/>
      <c r="C23" s="505" t="s">
        <v>699</v>
      </c>
      <c r="D23" s="506" t="str">
        <f>VLOOKUP(C18,overview_of_services!$B$2:$I$88,5,FALSE)</f>
        <v>Programmed control</v>
      </c>
      <c r="E23" s="499" t="s">
        <v>700</v>
      </c>
      <c r="F23" s="499">
        <v>0</v>
      </c>
      <c r="G23" s="499">
        <v>0</v>
      </c>
      <c r="H23" s="507" t="s">
        <v>700</v>
      </c>
      <c r="I23" s="499">
        <v>0</v>
      </c>
      <c r="J23" s="499">
        <v>0</v>
      </c>
      <c r="K23" s="499">
        <v>0</v>
      </c>
      <c r="L23" s="500" t="s">
        <v>708</v>
      </c>
      <c r="M23" s="500" t="s">
        <v>708</v>
      </c>
      <c r="N23" s="501">
        <v>1</v>
      </c>
      <c r="O23" s="502"/>
      <c r="P23" s="504"/>
      <c r="R23" s="504">
        <f t="shared" si="3"/>
        <v>1</v>
      </c>
      <c r="S23" s="504">
        <f t="shared" si="3"/>
        <v>0</v>
      </c>
      <c r="T23" s="504">
        <f t="shared" si="4"/>
        <v>0</v>
      </c>
      <c r="U23" s="504">
        <f t="shared" si="4"/>
        <v>1</v>
      </c>
      <c r="V23" s="504">
        <f t="shared" si="4"/>
        <v>0</v>
      </c>
      <c r="W23" s="504">
        <f t="shared" si="4"/>
        <v>0</v>
      </c>
      <c r="X23" s="504">
        <f t="shared" si="4"/>
        <v>0</v>
      </c>
    </row>
    <row r="24" spans="1:24" s="503" customFormat="1" ht="35.25" customHeight="1" outlineLevel="1" x14ac:dyDescent="0.5">
      <c r="A24" s="481"/>
      <c r="B24" s="481"/>
      <c r="C24" s="505" t="s">
        <v>703</v>
      </c>
      <c r="D24" s="506" t="str">
        <f>VLOOKUP(C18,overview_of_services!$B$2:$I$88,6,FALSE)</f>
        <v>Automated or mobile triggered detection</v>
      </c>
      <c r="E24" s="499" t="s">
        <v>700</v>
      </c>
      <c r="F24" s="499">
        <v>0</v>
      </c>
      <c r="G24" s="499">
        <v>0</v>
      </c>
      <c r="H24" s="507" t="s">
        <v>704</v>
      </c>
      <c r="I24" s="499">
        <v>0</v>
      </c>
      <c r="J24" s="499">
        <v>0</v>
      </c>
      <c r="K24" s="499">
        <v>0</v>
      </c>
      <c r="L24" s="500" t="s">
        <v>708</v>
      </c>
      <c r="M24" s="500" t="s">
        <v>708</v>
      </c>
      <c r="N24" s="501">
        <v>2</v>
      </c>
      <c r="O24" s="502" t="s">
        <v>721</v>
      </c>
      <c r="P24" s="504"/>
      <c r="R24" s="504">
        <f t="shared" si="3"/>
        <v>1</v>
      </c>
      <c r="S24" s="504">
        <f t="shared" si="3"/>
        <v>0</v>
      </c>
      <c r="T24" s="504">
        <f t="shared" si="4"/>
        <v>0</v>
      </c>
      <c r="U24" s="504">
        <f t="shared" si="4"/>
        <v>2</v>
      </c>
      <c r="V24" s="504">
        <f t="shared" si="4"/>
        <v>0</v>
      </c>
      <c r="W24" s="504">
        <f t="shared" si="4"/>
        <v>0</v>
      </c>
      <c r="X24" s="504">
        <f t="shared" si="4"/>
        <v>0</v>
      </c>
    </row>
    <row r="25" spans="1:24" s="503" customFormat="1" ht="35.25" customHeight="1" outlineLevel="1" x14ac:dyDescent="0.5">
      <c r="A25" s="481"/>
      <c r="B25" s="481"/>
      <c r="C25" s="505" t="s">
        <v>706</v>
      </c>
      <c r="D25" s="506">
        <f>VLOOKUP(C18,overview_of_services!$B$2:$I$88,7,FALSE)</f>
        <v>0</v>
      </c>
      <c r="E25" s="507"/>
      <c r="F25" s="499"/>
      <c r="G25" s="507"/>
      <c r="H25" s="507"/>
      <c r="I25" s="507"/>
      <c r="J25" s="499"/>
      <c r="K25" s="507"/>
      <c r="L25" s="526" t="s">
        <v>698</v>
      </c>
      <c r="M25" s="526" t="s">
        <v>698</v>
      </c>
      <c r="N25" s="527">
        <v>5</v>
      </c>
      <c r="O25" s="502" t="s">
        <v>721</v>
      </c>
      <c r="P25" s="504"/>
      <c r="R25" s="504">
        <f t="shared" si="3"/>
        <v>0</v>
      </c>
      <c r="S25" s="504">
        <f t="shared" si="3"/>
        <v>0</v>
      </c>
      <c r="T25" s="504">
        <f t="shared" si="4"/>
        <v>0</v>
      </c>
      <c r="U25" s="504">
        <f t="shared" si="4"/>
        <v>0</v>
      </c>
      <c r="V25" s="504">
        <f t="shared" si="4"/>
        <v>0</v>
      </c>
      <c r="W25" s="504">
        <f t="shared" si="4"/>
        <v>0</v>
      </c>
      <c r="X25" s="504">
        <f t="shared" si="4"/>
        <v>0</v>
      </c>
    </row>
    <row r="26" spans="1:24" s="503" customFormat="1" ht="35.25" customHeight="1" outlineLevel="1" x14ac:dyDescent="0.5">
      <c r="A26" s="481"/>
      <c r="B26" s="481"/>
      <c r="C26" s="505" t="s">
        <v>710</v>
      </c>
      <c r="D26" s="506">
        <f>VLOOKUP(C18,overview_of_services!$B$2:$I$88,8,FALSE)</f>
        <v>0</v>
      </c>
      <c r="E26" s="507"/>
      <c r="F26" s="499"/>
      <c r="G26" s="507"/>
      <c r="H26" s="507"/>
      <c r="I26" s="499"/>
      <c r="J26" s="499"/>
      <c r="K26" s="499"/>
      <c r="L26" s="500"/>
      <c r="M26" s="500"/>
      <c r="N26" s="501"/>
      <c r="O26" s="502"/>
      <c r="P26" s="504"/>
      <c r="R26" s="504">
        <f t="shared" si="3"/>
        <v>0</v>
      </c>
      <c r="S26" s="504">
        <f t="shared" si="3"/>
        <v>0</v>
      </c>
      <c r="T26" s="504">
        <f t="shared" si="4"/>
        <v>0</v>
      </c>
      <c r="U26" s="504">
        <f t="shared" si="4"/>
        <v>0</v>
      </c>
      <c r="V26" s="504">
        <f t="shared" si="4"/>
        <v>0</v>
      </c>
      <c r="W26" s="504">
        <f t="shared" si="4"/>
        <v>0</v>
      </c>
      <c r="X26" s="504">
        <f t="shared" si="4"/>
        <v>0</v>
      </c>
    </row>
    <row r="27" spans="1:24" s="503" customFormat="1" ht="6" customHeight="1" outlineLevel="2" thickBot="1" x14ac:dyDescent="0.4">
      <c r="A27" s="481"/>
      <c r="B27" s="481"/>
      <c r="C27" s="504"/>
      <c r="D27" s="504"/>
      <c r="E27" s="508"/>
      <c r="F27" s="508"/>
      <c r="G27" s="508"/>
      <c r="H27" s="508"/>
      <c r="I27" s="508"/>
      <c r="J27" s="508"/>
      <c r="K27" s="508"/>
      <c r="L27" s="504"/>
      <c r="M27" s="504"/>
      <c r="N27" s="504"/>
      <c r="O27" s="508"/>
      <c r="P27" s="504"/>
    </row>
    <row r="28" spans="1:24" s="503" customFormat="1" ht="30.75" customHeight="1" outlineLevel="2" thickBot="1" x14ac:dyDescent="0.4">
      <c r="A28" s="481"/>
      <c r="B28" s="481"/>
      <c r="C28" s="509"/>
      <c r="D28" s="509" t="s">
        <v>712</v>
      </c>
      <c r="E28" s="510" t="s">
        <v>729</v>
      </c>
      <c r="F28" s="511" t="s">
        <v>729</v>
      </c>
      <c r="G28" s="511" t="s">
        <v>729</v>
      </c>
      <c r="H28" s="511" t="s">
        <v>729</v>
      </c>
      <c r="I28" s="511" t="s">
        <v>729</v>
      </c>
      <c r="J28" s="511" t="s">
        <v>729</v>
      </c>
      <c r="K28" s="511" t="s">
        <v>729</v>
      </c>
      <c r="L28" s="511" t="s">
        <v>729</v>
      </c>
      <c r="M28" s="511" t="s">
        <v>729</v>
      </c>
      <c r="N28" s="511" t="s">
        <v>729</v>
      </c>
      <c r="O28" s="511" t="s">
        <v>729</v>
      </c>
      <c r="P28" s="504"/>
    </row>
    <row r="29" spans="1:24" s="503" customFormat="1" ht="30.75" customHeight="1" outlineLevel="2" thickBot="1" x14ac:dyDescent="0.4">
      <c r="A29" s="481"/>
      <c r="B29" s="481"/>
      <c r="C29" s="509"/>
      <c r="D29" s="509" t="s">
        <v>714</v>
      </c>
      <c r="E29" s="528" t="s">
        <v>781</v>
      </c>
      <c r="F29" s="528" t="s">
        <v>782</v>
      </c>
      <c r="G29" s="528" t="s">
        <v>783</v>
      </c>
      <c r="H29" s="528" t="s">
        <v>782</v>
      </c>
      <c r="I29" s="528" t="s">
        <v>782</v>
      </c>
      <c r="J29" s="528" t="s">
        <v>782</v>
      </c>
      <c r="K29" s="528" t="s">
        <v>782</v>
      </c>
      <c r="L29" s="528" t="s">
        <v>782</v>
      </c>
      <c r="M29" s="528" t="s">
        <v>782</v>
      </c>
      <c r="N29" s="513"/>
      <c r="O29" s="510"/>
      <c r="P29" s="504"/>
    </row>
    <row r="30" spans="1:24" ht="20.25" customHeight="1" outlineLevel="1" thickBot="1" x14ac:dyDescent="0.4">
      <c r="C30" s="481"/>
      <c r="D30" s="481"/>
      <c r="E30" s="481"/>
      <c r="F30" s="481"/>
      <c r="G30" s="482"/>
      <c r="H30" s="482"/>
      <c r="I30" s="482"/>
      <c r="J30" s="482"/>
      <c r="K30" s="482"/>
      <c r="L30" s="482"/>
      <c r="M30" s="482"/>
      <c r="N30" s="482"/>
      <c r="O30" s="482"/>
      <c r="P30" s="481"/>
    </row>
    <row r="31" spans="1:24" ht="17.25" customHeight="1" thickBot="1" x14ac:dyDescent="0.4">
      <c r="C31" s="483" t="s">
        <v>677</v>
      </c>
      <c r="D31" s="484" t="s">
        <v>678</v>
      </c>
      <c r="E31" s="481"/>
      <c r="F31" s="481"/>
      <c r="G31" s="482"/>
      <c r="H31" s="482"/>
      <c r="I31" s="482"/>
      <c r="J31" s="482"/>
      <c r="K31" s="482"/>
      <c r="L31" s="482"/>
      <c r="M31" s="482"/>
      <c r="N31" s="482"/>
      <c r="O31" s="482"/>
      <c r="P31" s="481"/>
    </row>
    <row r="32" spans="1:24" s="492" customFormat="1" ht="36.75" customHeight="1" thickBot="1" x14ac:dyDescent="0.7">
      <c r="A32" s="481"/>
      <c r="B32" s="486" t="s">
        <v>679</v>
      </c>
      <c r="C32" s="487" t="s">
        <v>309</v>
      </c>
      <c r="D32" s="514" t="str">
        <f>VLOOKUP(C32,overview_of_services!$B$2:$I$88,3,FALSE)</f>
        <v>Control artificial lighting power based on daylight levels</v>
      </c>
      <c r="E32" s="489"/>
      <c r="F32" s="490" t="s">
        <v>680</v>
      </c>
      <c r="G32" s="578" t="str">
        <f>VLOOKUP(C32,overview_of_services!$B$2:$I$88,2,FALSE)</f>
        <v>Control artificial lighting power based on daylight levels</v>
      </c>
      <c r="H32" s="578"/>
      <c r="I32" s="490"/>
      <c r="J32" s="491"/>
      <c r="K32" s="491"/>
      <c r="L32" s="491"/>
      <c r="M32" s="491"/>
      <c r="N32" s="491"/>
      <c r="O32" s="491"/>
      <c r="R32" s="492" t="s">
        <v>681</v>
      </c>
      <c r="S32" s="492">
        <f>ROW()</f>
        <v>32</v>
      </c>
    </row>
    <row r="33" spans="1:24" ht="5.25" customHeight="1" x14ac:dyDescent="0.35">
      <c r="C33" s="493"/>
      <c r="D33" s="493"/>
      <c r="E33" s="493"/>
      <c r="F33" s="493"/>
      <c r="G33" s="493"/>
      <c r="H33" s="493"/>
      <c r="I33" s="493"/>
      <c r="J33" s="493"/>
      <c r="K33" s="493"/>
      <c r="L33" s="493"/>
      <c r="M33" s="493"/>
      <c r="N33" s="493"/>
      <c r="O33" s="494"/>
      <c r="P33" s="481"/>
    </row>
    <row r="34" spans="1:24" ht="20.25" customHeight="1" outlineLevel="1" x14ac:dyDescent="0.35">
      <c r="C34" s="575" t="s">
        <v>682</v>
      </c>
      <c r="D34" s="575"/>
      <c r="E34" s="577" t="s">
        <v>683</v>
      </c>
      <c r="F34" s="577"/>
      <c r="G34" s="577"/>
      <c r="H34" s="577"/>
      <c r="I34" s="577"/>
      <c r="J34" s="577"/>
      <c r="K34" s="577"/>
      <c r="L34" s="573" t="s">
        <v>684</v>
      </c>
      <c r="M34" s="574"/>
      <c r="N34" s="569" t="s">
        <v>685</v>
      </c>
      <c r="O34" s="571" t="s">
        <v>686</v>
      </c>
      <c r="P34" s="481"/>
    </row>
    <row r="35" spans="1:24" ht="36.75" customHeight="1" outlineLevel="1" thickBot="1" x14ac:dyDescent="0.4">
      <c r="C35" s="576"/>
      <c r="D35" s="576"/>
      <c r="E35" s="495" t="s">
        <v>687</v>
      </c>
      <c r="F35" s="495" t="s">
        <v>688</v>
      </c>
      <c r="G35" s="495" t="s">
        <v>689</v>
      </c>
      <c r="H35" s="495" t="s">
        <v>690</v>
      </c>
      <c r="I35" s="495" t="s">
        <v>616</v>
      </c>
      <c r="J35" s="495" t="s">
        <v>691</v>
      </c>
      <c r="K35" s="495" t="s">
        <v>692</v>
      </c>
      <c r="L35" s="496" t="s">
        <v>693</v>
      </c>
      <c r="M35" s="496" t="s">
        <v>694</v>
      </c>
      <c r="N35" s="570"/>
      <c r="O35" s="572"/>
      <c r="P35" s="481"/>
    </row>
    <row r="36" spans="1:24" s="503" customFormat="1" ht="35.25" customHeight="1" outlineLevel="1" thickTop="1" x14ac:dyDescent="0.5">
      <c r="A36" s="481"/>
      <c r="B36" s="481"/>
      <c r="C36" s="497" t="s">
        <v>695</v>
      </c>
      <c r="D36" s="498" t="str">
        <f>VLOOKUP(C32,overview_of_services!$B$2:$I$88,4,FALSE)</f>
        <v>Manual (central)</v>
      </c>
      <c r="E36" s="499">
        <v>0</v>
      </c>
      <c r="F36" s="499">
        <v>0</v>
      </c>
      <c r="G36" s="499">
        <v>0</v>
      </c>
      <c r="H36" s="499">
        <v>0</v>
      </c>
      <c r="I36" s="499">
        <v>0</v>
      </c>
      <c r="J36" s="499">
        <v>0</v>
      </c>
      <c r="K36" s="499">
        <v>0</v>
      </c>
      <c r="L36" s="500" t="s">
        <v>696</v>
      </c>
      <c r="M36" s="500" t="s">
        <v>696</v>
      </c>
      <c r="N36" s="501">
        <v>0</v>
      </c>
      <c r="O36" s="502" t="s">
        <v>697</v>
      </c>
      <c r="P36" s="504"/>
      <c r="R36" s="504">
        <f>IF(E36=0,0,(IF(E36="+",1,(IF(E36="++",2,(IF(E36="+++",3,(IF(E36="++++",4,(IF(E36="-",-1,(IF(E36="--",-2,(IF(E36="---",-3,(IF(E36="----",-4,"NA")))))))))))))))))</f>
        <v>0</v>
      </c>
      <c r="S36" s="504">
        <f>IF(F36=0,0,(IF(F36="+",1,(IF(F36="++",2,(IF(F36="+++",3,(IF(F36="++++",4,(IF(F36="-",-1,(IF(F36="--",-2,(IF(F36="---",-3,(IF(F36="----",-4,"NA")))))))))))))))))</f>
        <v>0</v>
      </c>
      <c r="T36" s="504">
        <f t="shared" ref="T36:X40" si="5">IF(G36=0,0,(IF(G36="+",1,(IF(G36="++",2,(IF(G36="+++",3,(IF(G36="++++",4,(IF(G36="-",-1,(IF(G36="--",-2,(IF(G36="---",-3,(IF(G36="----",-4,"NA")))))))))))))))))</f>
        <v>0</v>
      </c>
      <c r="U36" s="504">
        <f t="shared" si="5"/>
        <v>0</v>
      </c>
      <c r="V36" s="504">
        <f t="shared" si="5"/>
        <v>0</v>
      </c>
      <c r="W36" s="504">
        <f t="shared" si="5"/>
        <v>0</v>
      </c>
      <c r="X36" s="504">
        <f t="shared" si="5"/>
        <v>0</v>
      </c>
    </row>
    <row r="37" spans="1:24" s="503" customFormat="1" ht="35.25" customHeight="1" outlineLevel="1" x14ac:dyDescent="0.5">
      <c r="A37" s="481"/>
      <c r="B37" s="481"/>
      <c r="C37" s="505" t="s">
        <v>699</v>
      </c>
      <c r="D37" s="506" t="str">
        <f>VLOOKUP(C32,overview_of_services!$B$2:$I$88,5,FALSE)</f>
        <v>Manual (per room / zone)</v>
      </c>
      <c r="E37" s="499" t="s">
        <v>700</v>
      </c>
      <c r="F37" s="499">
        <v>0</v>
      </c>
      <c r="G37" s="507" t="s">
        <v>700</v>
      </c>
      <c r="H37" s="499" t="s">
        <v>700</v>
      </c>
      <c r="I37" s="499">
        <v>0</v>
      </c>
      <c r="J37" s="499">
        <v>0</v>
      </c>
      <c r="K37" s="499">
        <v>0</v>
      </c>
      <c r="L37" s="500" t="s">
        <v>708</v>
      </c>
      <c r="M37" s="500" t="s">
        <v>718</v>
      </c>
      <c r="N37" s="501">
        <v>1</v>
      </c>
      <c r="O37" s="502" t="s">
        <v>784</v>
      </c>
      <c r="P37" s="504"/>
      <c r="R37" s="504">
        <f t="shared" ref="R37:R40" si="6">IF(E37=0,0,(IF(E37="+",1,(IF(E37="++",2,(IF(E37="+++",3,(IF(E37="++++",4,(IF(E37="-",-1,(IF(E37="--",-2,(IF(E37="---",-3,(IF(E37="----",-4,"NA")))))))))))))))))</f>
        <v>1</v>
      </c>
      <c r="S37" s="504">
        <f>IF(F37=0,0,(IF(F37="+",1,(IF(F37="++",2,(IF(F37="+++",3,(IF(F37="++++",4,(IF(F37="-",-1,(IF(F37="--",-2,(IF(F37="---",-3,(IF(F37="----",-4,"NA")))))))))))))))))</f>
        <v>0</v>
      </c>
      <c r="T37" s="504">
        <f t="shared" si="5"/>
        <v>1</v>
      </c>
      <c r="U37" s="504">
        <f t="shared" si="5"/>
        <v>1</v>
      </c>
      <c r="V37" s="504">
        <f t="shared" si="5"/>
        <v>0</v>
      </c>
      <c r="W37" s="504">
        <f t="shared" si="5"/>
        <v>0</v>
      </c>
      <c r="X37" s="504">
        <f t="shared" si="5"/>
        <v>0</v>
      </c>
    </row>
    <row r="38" spans="1:24" s="503" customFormat="1" ht="35.25" customHeight="1" outlineLevel="1" x14ac:dyDescent="0.5">
      <c r="A38" s="481"/>
      <c r="B38" s="481"/>
      <c r="C38" s="505" t="s">
        <v>703</v>
      </c>
      <c r="D38" s="506" t="str">
        <f>VLOOKUP(C32,overview_of_services!$B$2:$I$88,6,FALSE)</f>
        <v>Automatic switching</v>
      </c>
      <c r="E38" s="507" t="s">
        <v>704</v>
      </c>
      <c r="F38" s="499">
        <v>0</v>
      </c>
      <c r="G38" s="507" t="s">
        <v>700</v>
      </c>
      <c r="H38" s="499" t="s">
        <v>700</v>
      </c>
      <c r="I38" s="499" t="s">
        <v>700</v>
      </c>
      <c r="J38" s="499">
        <v>0</v>
      </c>
      <c r="K38" s="499">
        <v>0</v>
      </c>
      <c r="L38" s="500" t="s">
        <v>708</v>
      </c>
      <c r="M38" s="500" t="s">
        <v>718</v>
      </c>
      <c r="N38" s="501">
        <v>5</v>
      </c>
      <c r="O38" s="502" t="s">
        <v>785</v>
      </c>
      <c r="P38" s="504"/>
      <c r="R38" s="504">
        <f t="shared" si="6"/>
        <v>2</v>
      </c>
      <c r="S38" s="504">
        <f>IF(F38=0,0,(IF(F38="+",1,(IF(F38="++",2,(IF(F38="+++",3,(IF(F38="++++",4,(IF(F38="-",-1,(IF(F38="--",-2,(IF(F38="---",-3,(IF(F38="----",-4,"NA")))))))))))))))))</f>
        <v>0</v>
      </c>
      <c r="T38" s="504">
        <f t="shared" si="5"/>
        <v>1</v>
      </c>
      <c r="U38" s="504">
        <f t="shared" si="5"/>
        <v>1</v>
      </c>
      <c r="V38" s="504">
        <f t="shared" si="5"/>
        <v>1</v>
      </c>
      <c r="W38" s="504">
        <f t="shared" si="5"/>
        <v>0</v>
      </c>
      <c r="X38" s="504">
        <f t="shared" si="5"/>
        <v>0</v>
      </c>
    </row>
    <row r="39" spans="1:24" s="503" customFormat="1" ht="35.25" customHeight="1" outlineLevel="1" x14ac:dyDescent="0.5">
      <c r="A39" s="481"/>
      <c r="B39" s="481"/>
      <c r="C39" s="505" t="s">
        <v>706</v>
      </c>
      <c r="D39" s="506" t="str">
        <f>VLOOKUP(C32,overview_of_services!$B$2:$I$88,7,FALSE)</f>
        <v>Automatic dimming</v>
      </c>
      <c r="E39" s="507" t="s">
        <v>707</v>
      </c>
      <c r="F39" s="499">
        <v>0</v>
      </c>
      <c r="G39" s="507" t="s">
        <v>704</v>
      </c>
      <c r="H39" s="507" t="s">
        <v>704</v>
      </c>
      <c r="I39" s="507" t="s">
        <v>704</v>
      </c>
      <c r="J39" s="499">
        <v>0</v>
      </c>
      <c r="K39" s="499">
        <v>0</v>
      </c>
      <c r="L39" s="500" t="s">
        <v>708</v>
      </c>
      <c r="M39" s="500" t="s">
        <v>708</v>
      </c>
      <c r="N39" s="501">
        <v>5</v>
      </c>
      <c r="O39" s="502" t="s">
        <v>785</v>
      </c>
      <c r="P39" s="504"/>
      <c r="R39" s="504">
        <f t="shared" si="6"/>
        <v>3</v>
      </c>
      <c r="S39" s="504">
        <f>IF(F39=0,0,(IF(F39="+",1,(IF(F39="++",2,(IF(F39="+++",3,(IF(F39="++++",4,(IF(F39="-",-1,(IF(F39="--",-2,(IF(F39="---",-3,(IF(F39="----",-4,"NA")))))))))))))))))</f>
        <v>0</v>
      </c>
      <c r="T39" s="504">
        <f t="shared" si="5"/>
        <v>2</v>
      </c>
      <c r="U39" s="504">
        <f t="shared" si="5"/>
        <v>2</v>
      </c>
      <c r="V39" s="504">
        <f t="shared" si="5"/>
        <v>2</v>
      </c>
      <c r="W39" s="504">
        <f t="shared" si="5"/>
        <v>0</v>
      </c>
      <c r="X39" s="504">
        <f t="shared" si="5"/>
        <v>0</v>
      </c>
    </row>
    <row r="40" spans="1:24" s="503" customFormat="1" ht="72.5" outlineLevel="1" x14ac:dyDescent="0.5">
      <c r="A40" s="481"/>
      <c r="B40" s="481"/>
      <c r="C40" s="505" t="s">
        <v>710</v>
      </c>
      <c r="D40" s="506" t="str">
        <f>VLOOKUP(C32,overview_of_services!$B$2:$I$88,8,FALSE)</f>
        <v>Scene-based light control (during time intervals, dynamic and
adapted lighting scenes are set, for example, in terms of
illuminance level, different correlated colour temperature (CCT)
and the possibility to change the light distribution within the space
according to e. g. design, human needs, visual tasks)</v>
      </c>
      <c r="E40" s="507" t="s">
        <v>707</v>
      </c>
      <c r="F40" s="499">
        <v>0</v>
      </c>
      <c r="G40" s="507" t="s">
        <v>707</v>
      </c>
      <c r="H40" s="507" t="s">
        <v>707</v>
      </c>
      <c r="I40" s="507" t="s">
        <v>707</v>
      </c>
      <c r="J40" s="499">
        <v>0</v>
      </c>
      <c r="K40" s="499">
        <v>0</v>
      </c>
      <c r="L40" s="500" t="s">
        <v>708</v>
      </c>
      <c r="M40" s="500" t="s">
        <v>708</v>
      </c>
      <c r="N40" s="501">
        <v>5</v>
      </c>
      <c r="O40" s="502"/>
      <c r="P40" s="504"/>
      <c r="R40" s="504">
        <f t="shared" si="6"/>
        <v>3</v>
      </c>
      <c r="S40" s="504">
        <f>IF(F40=0,0,(IF(F40="+",1,(IF(F40="++",2,(IF(F40="+++",3,(IF(F40="++++",4,(IF(F40="-",-1,(IF(F40="--",-2,(IF(F40="---",-3,(IF(F40="----",-4,"NA")))))))))))))))))</f>
        <v>0</v>
      </c>
      <c r="T40" s="504">
        <f t="shared" si="5"/>
        <v>3</v>
      </c>
      <c r="U40" s="504">
        <f t="shared" si="5"/>
        <v>3</v>
      </c>
      <c r="V40" s="504">
        <f t="shared" si="5"/>
        <v>3</v>
      </c>
      <c r="W40" s="504">
        <f t="shared" si="5"/>
        <v>0</v>
      </c>
      <c r="X40" s="504">
        <f t="shared" si="5"/>
        <v>0</v>
      </c>
    </row>
    <row r="41" spans="1:24" s="503" customFormat="1" ht="6" customHeight="1" outlineLevel="2" thickBot="1" x14ac:dyDescent="0.4">
      <c r="A41" s="481"/>
      <c r="B41" s="481"/>
      <c r="C41" s="504"/>
      <c r="D41" s="504"/>
      <c r="E41" s="508"/>
      <c r="F41" s="508"/>
      <c r="G41" s="508"/>
      <c r="H41" s="508"/>
      <c r="I41" s="508"/>
      <c r="J41" s="508"/>
      <c r="K41" s="508"/>
      <c r="L41" s="504"/>
      <c r="M41" s="504"/>
      <c r="N41" s="504"/>
      <c r="O41" s="508"/>
      <c r="P41" s="504"/>
    </row>
    <row r="42" spans="1:24" s="503" customFormat="1" ht="30.75" customHeight="1" outlineLevel="2" thickBot="1" x14ac:dyDescent="0.4">
      <c r="A42" s="481"/>
      <c r="B42" s="481"/>
      <c r="C42" s="509"/>
      <c r="D42" s="509" t="s">
        <v>712</v>
      </c>
      <c r="E42" s="510" t="s">
        <v>729</v>
      </c>
      <c r="F42" s="511" t="s">
        <v>729</v>
      </c>
      <c r="G42" s="511" t="s">
        <v>729</v>
      </c>
      <c r="H42" s="511" t="s">
        <v>729</v>
      </c>
      <c r="I42" s="511" t="s">
        <v>729</v>
      </c>
      <c r="J42" s="511" t="s">
        <v>729</v>
      </c>
      <c r="K42" s="511" t="s">
        <v>729</v>
      </c>
      <c r="L42" s="511" t="s">
        <v>729</v>
      </c>
      <c r="M42" s="511" t="s">
        <v>729</v>
      </c>
      <c r="N42" s="511" t="s">
        <v>729</v>
      </c>
      <c r="O42" s="511" t="s">
        <v>729</v>
      </c>
      <c r="P42" s="504"/>
    </row>
    <row r="43" spans="1:24" s="503" customFormat="1" ht="30.75" customHeight="1" outlineLevel="2" thickBot="1" x14ac:dyDescent="0.4">
      <c r="A43" s="481"/>
      <c r="B43" s="481"/>
      <c r="C43" s="509"/>
      <c r="D43" s="509" t="s">
        <v>714</v>
      </c>
      <c r="E43" s="528" t="s">
        <v>781</v>
      </c>
      <c r="F43" s="528" t="s">
        <v>782</v>
      </c>
      <c r="G43" s="528" t="s">
        <v>783</v>
      </c>
      <c r="H43" s="528" t="s">
        <v>782</v>
      </c>
      <c r="I43" s="528" t="s">
        <v>782</v>
      </c>
      <c r="J43" s="528" t="s">
        <v>782</v>
      </c>
      <c r="K43" s="528" t="s">
        <v>782</v>
      </c>
      <c r="L43" s="528" t="s">
        <v>782</v>
      </c>
      <c r="M43" s="528" t="s">
        <v>782</v>
      </c>
      <c r="N43" s="510"/>
      <c r="O43" s="510"/>
      <c r="P43" s="504"/>
    </row>
    <row r="44" spans="1:24" ht="20.25" customHeight="1" outlineLevel="1" x14ac:dyDescent="0.35">
      <c r="C44" s="481"/>
      <c r="D44" s="481"/>
      <c r="E44" s="481"/>
      <c r="F44" s="481"/>
      <c r="G44" s="482"/>
      <c r="H44" s="482"/>
      <c r="I44" s="482"/>
      <c r="J44" s="482"/>
      <c r="K44" s="482"/>
      <c r="L44" s="482"/>
      <c r="M44" s="482"/>
      <c r="N44" s="482"/>
      <c r="O44" s="482"/>
      <c r="P44" s="481"/>
    </row>
  </sheetData>
  <sheetProtection algorithmName="SHA-512" hashValue="XjOJSwn2S2ubRcKXINWiYK3LxN8qgLjefhWX7cVpko4XsF01nd+XYOPdVVm/pt1FK0cqROwqE7dOhJdfSbjVCw==" saltValue="wSWG5K0RnKqewc3R3F5Glg==" spinCount="100000" sheet="1" objects="1" scenarios="1"/>
  <mergeCells count="18">
    <mergeCell ref="O34:O35"/>
    <mergeCell ref="N20:N21"/>
    <mergeCell ref="L34:M34"/>
    <mergeCell ref="G32:H32"/>
    <mergeCell ref="C34:D35"/>
    <mergeCell ref="E34:K34"/>
    <mergeCell ref="N34:N35"/>
    <mergeCell ref="C20:D21"/>
    <mergeCell ref="E20:K20"/>
    <mergeCell ref="L20:M20"/>
    <mergeCell ref="G4:H4"/>
    <mergeCell ref="O6:O7"/>
    <mergeCell ref="L6:M6"/>
    <mergeCell ref="O20:O21"/>
    <mergeCell ref="C6:D7"/>
    <mergeCell ref="G18:H18"/>
    <mergeCell ref="E6:K6"/>
    <mergeCell ref="N6:N7"/>
  </mergeCells>
  <conditionalFormatting sqref="B4">
    <cfRule type="expression" dxfId="551" priority="54">
      <formula>E4="yes"</formula>
    </cfRule>
  </conditionalFormatting>
  <conditionalFormatting sqref="B18">
    <cfRule type="expression" dxfId="550" priority="52">
      <formula>E18="yes"</formula>
    </cfRule>
  </conditionalFormatting>
  <conditionalFormatting sqref="B32">
    <cfRule type="expression" dxfId="549" priority="50">
      <formula>E32="yes"</formula>
    </cfRule>
  </conditionalFormatting>
  <conditionalFormatting sqref="C8:O12 C22:O26 C36:K39 E40:K40">
    <cfRule type="expression" dxfId="548" priority="34">
      <formula>$D8=0</formula>
    </cfRule>
  </conditionalFormatting>
  <conditionalFormatting sqref="C12">
    <cfRule type="expression" dxfId="547" priority="33">
      <formula>$D12=0</formula>
    </cfRule>
  </conditionalFormatting>
  <conditionalFormatting sqref="D12">
    <cfRule type="expression" dxfId="546" priority="32">
      <formula>$D12=0</formula>
    </cfRule>
  </conditionalFormatting>
  <conditionalFormatting sqref="C26">
    <cfRule type="expression" dxfId="545" priority="30">
      <formula>$D26=0</formula>
    </cfRule>
  </conditionalFormatting>
  <conditionalFormatting sqref="D26">
    <cfRule type="expression" dxfId="544" priority="29">
      <formula>$D26=0</formula>
    </cfRule>
  </conditionalFormatting>
  <conditionalFormatting sqref="N36:O39 C40">
    <cfRule type="expression" dxfId="543" priority="28">
      <formula>$D36=0</formula>
    </cfRule>
  </conditionalFormatting>
  <conditionalFormatting sqref="L37:M37">
    <cfRule type="expression" dxfId="542" priority="7">
      <formula>$D37=0</formula>
    </cfRule>
  </conditionalFormatting>
  <conditionalFormatting sqref="L38:M39">
    <cfRule type="expression" dxfId="541" priority="6">
      <formula>$D38=0</formula>
    </cfRule>
  </conditionalFormatting>
  <conditionalFormatting sqref="L36:M36">
    <cfRule type="expression" dxfId="540" priority="5">
      <formula>$D36=0</formula>
    </cfRule>
  </conditionalFormatting>
  <conditionalFormatting sqref="N40:O40">
    <cfRule type="expression" dxfId="539" priority="4">
      <formula>$D40=0</formula>
    </cfRule>
  </conditionalFormatting>
  <conditionalFormatting sqref="L40:M40">
    <cfRule type="expression" dxfId="538" priority="3">
      <formula>$D40=0</formula>
    </cfRule>
  </conditionalFormatting>
  <conditionalFormatting sqref="D40">
    <cfRule type="expression" dxfId="537" priority="2">
      <formula>$D40=0</formula>
    </cfRule>
  </conditionalFormatting>
  <conditionalFormatting sqref="D40">
    <cfRule type="expression" dxfId="536" priority="1">
      <formula>$D40=0</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C57"/>
  <sheetViews>
    <sheetView zoomScale="50" zoomScaleNormal="50" workbookViewId="0">
      <pane ySplit="1" topLeftCell="A2" activePane="bottomLeft" state="frozen"/>
      <selection pane="bottomLeft" activeCell="G9" sqref="G9"/>
    </sheetView>
  </sheetViews>
  <sheetFormatPr defaultColWidth="9.453125" defaultRowHeight="14.5" outlineLevelRow="2" x14ac:dyDescent="0.35"/>
  <cols>
    <col min="1" max="1" width="3.453125" style="481" customWidth="1"/>
    <col min="2" max="2" width="5.453125" style="481" customWidth="1"/>
    <col min="3" max="3" width="14.54296875" style="485" customWidth="1"/>
    <col min="4" max="4" width="60.54296875" style="485" customWidth="1"/>
    <col min="5" max="6" width="20" style="485" customWidth="1"/>
    <col min="7" max="11" width="20" style="523" customWidth="1"/>
    <col min="12" max="13" width="28" style="523" customWidth="1"/>
    <col min="14" max="14" width="20" style="523" customWidth="1"/>
    <col min="15" max="15" width="33.453125" style="523" customWidth="1"/>
    <col min="16" max="16" width="53.54296875" style="485" customWidth="1"/>
    <col min="17" max="17" width="27" style="485" customWidth="1"/>
    <col min="18" max="16384" width="9.453125" style="485"/>
  </cols>
  <sheetData>
    <row r="1" spans="1:24" s="479" customFormat="1" ht="37.5" customHeight="1" thickBot="1" x14ac:dyDescent="0.55000000000000004">
      <c r="A1" s="477"/>
      <c r="B1" s="477"/>
      <c r="C1" s="477" t="s">
        <v>676</v>
      </c>
      <c r="D1" s="478" t="s">
        <v>786</v>
      </c>
      <c r="G1" s="480"/>
      <c r="H1" s="480"/>
      <c r="I1" s="480"/>
      <c r="J1" s="480"/>
      <c r="K1" s="480"/>
      <c r="L1" s="480"/>
      <c r="M1" s="480"/>
      <c r="N1" s="480"/>
      <c r="O1" s="480"/>
      <c r="R1" s="479">
        <f>IF(SUM(R5:R54)&gt;0,1,0)</f>
        <v>1</v>
      </c>
      <c r="S1" s="479">
        <f t="shared" ref="S1:X1" si="0">IF(SUM(S5:S54)&gt;0,1,0)</f>
        <v>1</v>
      </c>
      <c r="T1" s="479">
        <f t="shared" si="0"/>
        <v>1</v>
      </c>
      <c r="U1" s="479">
        <f t="shared" si="0"/>
        <v>1</v>
      </c>
      <c r="V1" s="479">
        <f t="shared" si="0"/>
        <v>1</v>
      </c>
      <c r="W1" s="479">
        <f t="shared" si="0"/>
        <v>1</v>
      </c>
      <c r="X1" s="479">
        <f t="shared" si="0"/>
        <v>1</v>
      </c>
    </row>
    <row r="2" spans="1:24" s="481" customFormat="1" ht="26.25" customHeight="1" thickTop="1" thickBot="1" x14ac:dyDescent="0.4">
      <c r="O2" s="482"/>
    </row>
    <row r="3" spans="1:24" ht="17.25" customHeight="1" thickBot="1" x14ac:dyDescent="0.4">
      <c r="C3" s="483" t="s">
        <v>677</v>
      </c>
      <c r="D3" s="484" t="s">
        <v>678</v>
      </c>
      <c r="E3" s="481"/>
      <c r="F3" s="481"/>
      <c r="G3" s="482"/>
      <c r="H3" s="482"/>
      <c r="I3" s="482"/>
      <c r="J3" s="482"/>
      <c r="K3" s="482"/>
      <c r="L3" s="482"/>
      <c r="M3" s="482"/>
      <c r="N3" s="482"/>
      <c r="O3" s="482"/>
      <c r="P3" s="481"/>
    </row>
    <row r="4" spans="1:24" s="492" customFormat="1" ht="36.75" customHeight="1" thickBot="1" x14ac:dyDescent="0.7">
      <c r="A4" s="481"/>
      <c r="B4" s="486" t="s">
        <v>679</v>
      </c>
      <c r="C4" s="487" t="s">
        <v>317</v>
      </c>
      <c r="D4" s="514" t="str">
        <f>VLOOKUP(C4,overview_of_services!$B$2:$I$88,3,FALSE)</f>
        <v>Window solar shading control</v>
      </c>
      <c r="E4" s="489"/>
      <c r="F4" s="490" t="s">
        <v>680</v>
      </c>
      <c r="G4" s="578" t="str">
        <f>VLOOKUP(C4,overview_of_services!$B$2:$I$88,2,FALSE)</f>
        <v>Window control</v>
      </c>
      <c r="H4" s="578"/>
      <c r="I4" s="490"/>
      <c r="J4" s="491"/>
      <c r="K4" s="491"/>
      <c r="L4" s="491"/>
      <c r="M4" s="491"/>
      <c r="N4" s="491"/>
      <c r="O4" s="491"/>
      <c r="R4" s="492" t="s">
        <v>681</v>
      </c>
      <c r="S4" s="492">
        <f>ROW()</f>
        <v>4</v>
      </c>
    </row>
    <row r="5" spans="1:24" ht="5.25" customHeight="1" x14ac:dyDescent="0.35">
      <c r="C5" s="493"/>
      <c r="D5" s="493"/>
      <c r="E5" s="493"/>
      <c r="F5" s="493"/>
      <c r="G5" s="493"/>
      <c r="H5" s="493"/>
      <c r="I5" s="493"/>
      <c r="J5" s="493"/>
      <c r="K5" s="493"/>
      <c r="L5" s="493"/>
      <c r="M5" s="493"/>
      <c r="N5" s="493"/>
      <c r="O5" s="494"/>
      <c r="P5" s="481"/>
    </row>
    <row r="6" spans="1:24" ht="20.25" customHeight="1" outlineLevel="1" x14ac:dyDescent="0.35">
      <c r="C6" s="575" t="s">
        <v>682</v>
      </c>
      <c r="D6" s="575"/>
      <c r="E6" s="577" t="s">
        <v>683</v>
      </c>
      <c r="F6" s="577"/>
      <c r="G6" s="577"/>
      <c r="H6" s="577"/>
      <c r="I6" s="577"/>
      <c r="J6" s="577"/>
      <c r="K6" s="577"/>
      <c r="L6" s="573" t="s">
        <v>684</v>
      </c>
      <c r="M6" s="574"/>
      <c r="N6" s="569" t="s">
        <v>685</v>
      </c>
      <c r="O6" s="571" t="s">
        <v>686</v>
      </c>
      <c r="P6" s="481"/>
    </row>
    <row r="7" spans="1:24" ht="36.75" customHeight="1" outlineLevel="1" thickBot="1" x14ac:dyDescent="0.4">
      <c r="C7" s="576"/>
      <c r="D7" s="576"/>
      <c r="E7" s="495" t="s">
        <v>687</v>
      </c>
      <c r="F7" s="495" t="s">
        <v>688</v>
      </c>
      <c r="G7" s="495" t="s">
        <v>689</v>
      </c>
      <c r="H7" s="495" t="s">
        <v>690</v>
      </c>
      <c r="I7" s="495" t="s">
        <v>616</v>
      </c>
      <c r="J7" s="495" t="s">
        <v>691</v>
      </c>
      <c r="K7" s="495" t="s">
        <v>692</v>
      </c>
      <c r="L7" s="496" t="s">
        <v>693</v>
      </c>
      <c r="M7" s="496" t="s">
        <v>694</v>
      </c>
      <c r="N7" s="570"/>
      <c r="O7" s="572"/>
      <c r="P7" s="481"/>
    </row>
    <row r="8" spans="1:24" s="503" customFormat="1" ht="35.25" customHeight="1" outlineLevel="1" thickTop="1" x14ac:dyDescent="0.5">
      <c r="A8" s="481"/>
      <c r="B8" s="481"/>
      <c r="C8" s="497" t="s">
        <v>695</v>
      </c>
      <c r="D8" s="498" t="str">
        <f>VLOOKUP(C4,overview_of_services!$B$2:$I$88,4,FALSE)</f>
        <v>No sun shading or only manual operation</v>
      </c>
      <c r="E8" s="499">
        <v>0</v>
      </c>
      <c r="F8" s="499">
        <v>0</v>
      </c>
      <c r="G8" s="499">
        <v>0</v>
      </c>
      <c r="H8" s="499">
        <v>0</v>
      </c>
      <c r="I8" s="499">
        <v>0</v>
      </c>
      <c r="J8" s="499">
        <v>0</v>
      </c>
      <c r="K8" s="499">
        <v>0</v>
      </c>
      <c r="L8" s="500" t="s">
        <v>696</v>
      </c>
      <c r="M8" s="500" t="s">
        <v>696</v>
      </c>
      <c r="N8" s="501">
        <v>0</v>
      </c>
      <c r="O8" s="502" t="s">
        <v>697</v>
      </c>
      <c r="P8" s="504"/>
      <c r="R8" s="504">
        <f t="shared" ref="R8:S12" si="1">IF(E8=0,0,(IF(E8="+",1,(IF(E8="++",2,(IF(E8="+++",3,(IF(E8="++++",4,(IF(E8="-",-1,(IF(E8="--",-2,(IF(E8="---",-3,(IF(E8="----",-4,"NA")))))))))))))))))</f>
        <v>0</v>
      </c>
      <c r="S8" s="504">
        <f t="shared" si="1"/>
        <v>0</v>
      </c>
      <c r="T8" s="504">
        <f t="shared" ref="T8:X12" si="2">IF(G8=0,0,(IF(G8="+",1,(IF(G8="++",2,(IF(G8="+++",3,(IF(G8="++++",4,(IF(G8="-",-1,(IF(G8="--",-2,(IF(G8="---",-3,(IF(G8="----",-4,"NA")))))))))))))))))</f>
        <v>0</v>
      </c>
      <c r="U8" s="504">
        <f t="shared" si="2"/>
        <v>0</v>
      </c>
      <c r="V8" s="504">
        <f t="shared" si="2"/>
        <v>0</v>
      </c>
      <c r="W8" s="504">
        <f t="shared" si="2"/>
        <v>0</v>
      </c>
      <c r="X8" s="504">
        <f t="shared" si="2"/>
        <v>0</v>
      </c>
    </row>
    <row r="9" spans="1:24" s="503" customFormat="1" ht="35.25" customHeight="1" outlineLevel="1" x14ac:dyDescent="0.5">
      <c r="A9" s="481"/>
      <c r="B9" s="481"/>
      <c r="C9" s="505" t="s">
        <v>699</v>
      </c>
      <c r="D9" s="506" t="str">
        <f>VLOOKUP(C4,overview_of_services!$B$2:$I$88,5,FALSE)</f>
        <v>Motorized operation with manual control</v>
      </c>
      <c r="E9" s="499" t="s">
        <v>700</v>
      </c>
      <c r="F9" s="499">
        <v>0</v>
      </c>
      <c r="G9" s="499" t="s">
        <v>700</v>
      </c>
      <c r="H9" s="499" t="s">
        <v>700</v>
      </c>
      <c r="I9" s="499">
        <v>0</v>
      </c>
      <c r="J9" s="499">
        <v>0</v>
      </c>
      <c r="K9" s="499">
        <v>0</v>
      </c>
      <c r="L9" s="500" t="s">
        <v>708</v>
      </c>
      <c r="M9" s="500" t="s">
        <v>718</v>
      </c>
      <c r="N9" s="501">
        <v>1</v>
      </c>
      <c r="O9" s="502" t="s">
        <v>787</v>
      </c>
      <c r="P9" s="504"/>
      <c r="R9" s="504">
        <f t="shared" si="1"/>
        <v>1</v>
      </c>
      <c r="S9" s="504">
        <f t="shared" si="1"/>
        <v>0</v>
      </c>
      <c r="T9" s="504">
        <f t="shared" si="2"/>
        <v>1</v>
      </c>
      <c r="U9" s="504">
        <f t="shared" si="2"/>
        <v>1</v>
      </c>
      <c r="V9" s="504">
        <f t="shared" si="2"/>
        <v>0</v>
      </c>
      <c r="W9" s="504">
        <f t="shared" si="2"/>
        <v>0</v>
      </c>
      <c r="X9" s="504">
        <f t="shared" si="2"/>
        <v>0</v>
      </c>
    </row>
    <row r="10" spans="1:24" s="503" customFormat="1" ht="29" outlineLevel="1" x14ac:dyDescent="0.5">
      <c r="A10" s="481"/>
      <c r="B10" s="481"/>
      <c r="C10" s="505" t="s">
        <v>703</v>
      </c>
      <c r="D10" s="506" t="str">
        <f>VLOOKUP(C4,overview_of_services!$B$2:$I$88,6,FALSE)</f>
        <v>Motorized operation with automatic control based on sensor data</v>
      </c>
      <c r="E10" s="507" t="s">
        <v>704</v>
      </c>
      <c r="F10" s="499">
        <v>0</v>
      </c>
      <c r="G10" s="499" t="s">
        <v>700</v>
      </c>
      <c r="H10" s="507" t="s">
        <v>704</v>
      </c>
      <c r="I10" s="499" t="s">
        <v>700</v>
      </c>
      <c r="J10" s="499">
        <v>0</v>
      </c>
      <c r="K10" s="499">
        <v>0</v>
      </c>
      <c r="L10" s="500" t="s">
        <v>708</v>
      </c>
      <c r="M10" s="500" t="s">
        <v>718</v>
      </c>
      <c r="N10" s="501">
        <v>1</v>
      </c>
      <c r="O10" s="502" t="s">
        <v>788</v>
      </c>
      <c r="P10" s="504"/>
      <c r="R10" s="504">
        <f t="shared" si="1"/>
        <v>2</v>
      </c>
      <c r="S10" s="504">
        <f t="shared" si="1"/>
        <v>0</v>
      </c>
      <c r="T10" s="504">
        <f t="shared" si="2"/>
        <v>1</v>
      </c>
      <c r="U10" s="504">
        <f t="shared" si="2"/>
        <v>2</v>
      </c>
      <c r="V10" s="504">
        <f t="shared" si="2"/>
        <v>1</v>
      </c>
      <c r="W10" s="504">
        <f t="shared" si="2"/>
        <v>0</v>
      </c>
      <c r="X10" s="504">
        <f t="shared" si="2"/>
        <v>0</v>
      </c>
    </row>
    <row r="11" spans="1:24" s="503" customFormat="1" ht="58" outlineLevel="1" x14ac:dyDescent="0.5">
      <c r="A11" s="481"/>
      <c r="B11" s="481"/>
      <c r="C11" s="505" t="s">
        <v>706</v>
      </c>
      <c r="D11" s="506" t="str">
        <f>VLOOKUP(C4,overview_of_services!$B$2:$I$88,7,FALSE)</f>
        <v>Combined light/blind/HVAC control</v>
      </c>
      <c r="E11" s="507" t="s">
        <v>707</v>
      </c>
      <c r="F11" s="499">
        <v>0</v>
      </c>
      <c r="G11" s="507" t="s">
        <v>704</v>
      </c>
      <c r="H11" s="507" t="s">
        <v>707</v>
      </c>
      <c r="I11" s="499" t="s">
        <v>700</v>
      </c>
      <c r="J11" s="499">
        <v>0</v>
      </c>
      <c r="K11" s="499">
        <v>0</v>
      </c>
      <c r="L11" s="500" t="s">
        <v>708</v>
      </c>
      <c r="M11" s="500" t="s">
        <v>718</v>
      </c>
      <c r="N11" s="501">
        <v>2</v>
      </c>
      <c r="O11" s="502" t="s">
        <v>789</v>
      </c>
      <c r="P11" s="504"/>
      <c r="R11" s="504">
        <f t="shared" si="1"/>
        <v>3</v>
      </c>
      <c r="S11" s="504">
        <f t="shared" si="1"/>
        <v>0</v>
      </c>
      <c r="T11" s="504">
        <f t="shared" si="2"/>
        <v>2</v>
      </c>
      <c r="U11" s="504">
        <f t="shared" si="2"/>
        <v>3</v>
      </c>
      <c r="V11" s="504">
        <f t="shared" si="2"/>
        <v>1</v>
      </c>
      <c r="W11" s="504">
        <f t="shared" si="2"/>
        <v>0</v>
      </c>
      <c r="X11" s="504">
        <f t="shared" si="2"/>
        <v>0</v>
      </c>
    </row>
    <row r="12" spans="1:24" s="503" customFormat="1" ht="58" outlineLevel="1" x14ac:dyDescent="0.5">
      <c r="A12" s="481"/>
      <c r="B12" s="481"/>
      <c r="C12" s="505" t="s">
        <v>710</v>
      </c>
      <c r="D12" s="506" t="str">
        <f>VLOOKUP(C4,overview_of_services!$B$2:$I$88,8,FALSE)</f>
        <v>Predictive blind control (e.g. based on weather forecast)</v>
      </c>
      <c r="E12" s="507" t="s">
        <v>707</v>
      </c>
      <c r="F12" s="499">
        <v>0</v>
      </c>
      <c r="G12" s="507" t="s">
        <v>707</v>
      </c>
      <c r="H12" s="507" t="s">
        <v>707</v>
      </c>
      <c r="I12" s="499" t="s">
        <v>700</v>
      </c>
      <c r="J12" s="499">
        <v>0</v>
      </c>
      <c r="K12" s="499">
        <v>0</v>
      </c>
      <c r="L12" s="500" t="s">
        <v>708</v>
      </c>
      <c r="M12" s="500" t="s">
        <v>708</v>
      </c>
      <c r="N12" s="501">
        <v>3</v>
      </c>
      <c r="O12" s="502" t="s">
        <v>789</v>
      </c>
      <c r="P12" s="504"/>
      <c r="R12" s="504">
        <f t="shared" si="1"/>
        <v>3</v>
      </c>
      <c r="S12" s="504">
        <f t="shared" si="1"/>
        <v>0</v>
      </c>
      <c r="T12" s="504">
        <f t="shared" si="2"/>
        <v>3</v>
      </c>
      <c r="U12" s="504">
        <f t="shared" si="2"/>
        <v>3</v>
      </c>
      <c r="V12" s="504">
        <f t="shared" si="2"/>
        <v>1</v>
      </c>
      <c r="W12" s="504">
        <f t="shared" si="2"/>
        <v>0</v>
      </c>
      <c r="X12" s="504">
        <f t="shared" si="2"/>
        <v>0</v>
      </c>
    </row>
    <row r="13" spans="1:24" s="503" customFormat="1" ht="6" customHeight="1" outlineLevel="2" thickBot="1" x14ac:dyDescent="0.4">
      <c r="A13" s="481"/>
      <c r="B13" s="481"/>
      <c r="C13" s="504"/>
      <c r="D13" s="504"/>
      <c r="E13" s="508"/>
      <c r="F13" s="508"/>
      <c r="G13" s="508"/>
      <c r="H13" s="508"/>
      <c r="I13" s="508"/>
      <c r="J13" s="508"/>
      <c r="K13" s="508"/>
      <c r="L13" s="504"/>
      <c r="M13" s="504"/>
      <c r="N13" s="504"/>
      <c r="O13" s="508"/>
      <c r="P13" s="504"/>
    </row>
    <row r="14" spans="1:24" s="503" customFormat="1" ht="30.75" customHeight="1" outlineLevel="2" thickBot="1" x14ac:dyDescent="0.4">
      <c r="A14" s="481"/>
      <c r="B14" s="481"/>
      <c r="C14" s="509"/>
      <c r="D14" s="509" t="s">
        <v>712</v>
      </c>
      <c r="E14" s="510" t="s">
        <v>729</v>
      </c>
      <c r="F14" s="511" t="s">
        <v>729</v>
      </c>
      <c r="G14" s="511" t="s">
        <v>729</v>
      </c>
      <c r="H14" s="511" t="s">
        <v>729</v>
      </c>
      <c r="I14" s="511" t="s">
        <v>729</v>
      </c>
      <c r="J14" s="511" t="s">
        <v>729</v>
      </c>
      <c r="K14" s="511" t="s">
        <v>729</v>
      </c>
      <c r="L14" s="511" t="s">
        <v>729</v>
      </c>
      <c r="M14" s="511" t="s">
        <v>729</v>
      </c>
      <c r="N14" s="511" t="s">
        <v>729</v>
      </c>
      <c r="O14" s="511" t="s">
        <v>729</v>
      </c>
      <c r="P14" s="504"/>
    </row>
    <row r="15" spans="1:24" s="503" customFormat="1" ht="30.75" customHeight="1" outlineLevel="2" thickBot="1" x14ac:dyDescent="0.4">
      <c r="A15" s="481"/>
      <c r="B15" s="481"/>
      <c r="C15" s="509"/>
      <c r="D15" s="509" t="s">
        <v>714</v>
      </c>
      <c r="E15" s="510"/>
      <c r="F15" s="512"/>
      <c r="G15" s="511"/>
      <c r="H15" s="511"/>
      <c r="I15" s="511"/>
      <c r="J15" s="511"/>
      <c r="K15" s="511"/>
      <c r="L15" s="510"/>
      <c r="M15" s="510"/>
      <c r="N15" s="513"/>
      <c r="O15" s="510"/>
      <c r="P15" s="504"/>
    </row>
    <row r="16" spans="1:24" ht="20.25" customHeight="1" outlineLevel="1" thickBot="1" x14ac:dyDescent="0.4">
      <c r="C16" s="481"/>
      <c r="D16" s="481"/>
      <c r="E16" s="481"/>
      <c r="F16" s="481"/>
      <c r="G16" s="482"/>
      <c r="H16" s="482"/>
      <c r="I16" s="482"/>
      <c r="J16" s="482"/>
      <c r="K16" s="482"/>
      <c r="L16" s="482"/>
      <c r="M16" s="482"/>
      <c r="N16" s="482"/>
      <c r="O16" s="482"/>
      <c r="P16" s="481"/>
    </row>
    <row r="17" spans="1:24" ht="17.25" customHeight="1" thickBot="1" x14ac:dyDescent="0.4">
      <c r="C17" s="483" t="s">
        <v>677</v>
      </c>
      <c r="D17" s="484" t="s">
        <v>678</v>
      </c>
      <c r="E17" s="481"/>
      <c r="F17" s="481"/>
      <c r="G17" s="482"/>
      <c r="H17" s="482"/>
      <c r="I17" s="482"/>
      <c r="J17" s="482"/>
      <c r="K17" s="482"/>
      <c r="L17" s="482"/>
      <c r="M17" s="482"/>
      <c r="N17" s="482"/>
      <c r="O17" s="482"/>
      <c r="P17" s="481"/>
    </row>
    <row r="18" spans="1:24" s="492" customFormat="1" ht="36.75" customHeight="1" thickBot="1" x14ac:dyDescent="0.7">
      <c r="A18" s="481"/>
      <c r="B18" s="486" t="s">
        <v>679</v>
      </c>
      <c r="C18" s="487" t="s">
        <v>328</v>
      </c>
      <c r="D18" s="514" t="str">
        <f>VLOOKUP(C18,overview_of_services!$B$2:$I$88,3,FALSE)</f>
        <v>Window open/closed control, combined with HVAC system</v>
      </c>
      <c r="E18" s="489"/>
      <c r="F18" s="490" t="s">
        <v>680</v>
      </c>
      <c r="G18" s="578" t="str">
        <f>VLOOKUP(C18,overview_of_services!$B$2:$I$88,2,FALSE)</f>
        <v>Window control</v>
      </c>
      <c r="H18" s="578"/>
      <c r="I18" s="490"/>
      <c r="J18" s="491"/>
      <c r="K18" s="491"/>
      <c r="L18" s="491"/>
      <c r="M18" s="491"/>
      <c r="N18" s="491"/>
      <c r="O18" s="491"/>
      <c r="R18" s="492" t="s">
        <v>681</v>
      </c>
      <c r="S18" s="492">
        <f>ROW()</f>
        <v>18</v>
      </c>
    </row>
    <row r="19" spans="1:24" ht="5.25" customHeight="1" x14ac:dyDescent="0.35">
      <c r="C19" s="493"/>
      <c r="D19" s="493"/>
      <c r="E19" s="493"/>
      <c r="F19" s="493"/>
      <c r="G19" s="493"/>
      <c r="H19" s="493"/>
      <c r="I19" s="493"/>
      <c r="J19" s="493"/>
      <c r="K19" s="493"/>
      <c r="L19" s="493"/>
      <c r="M19" s="493"/>
      <c r="N19" s="493"/>
      <c r="O19" s="494"/>
      <c r="P19" s="481"/>
    </row>
    <row r="20" spans="1:24" ht="20.25" customHeight="1" outlineLevel="1" x14ac:dyDescent="0.35">
      <c r="C20" s="575" t="s">
        <v>682</v>
      </c>
      <c r="D20" s="575"/>
      <c r="E20" s="577" t="s">
        <v>683</v>
      </c>
      <c r="F20" s="577"/>
      <c r="G20" s="577"/>
      <c r="H20" s="577"/>
      <c r="I20" s="577"/>
      <c r="J20" s="577"/>
      <c r="K20" s="577"/>
      <c r="L20" s="573" t="s">
        <v>684</v>
      </c>
      <c r="M20" s="574"/>
      <c r="N20" s="569" t="s">
        <v>685</v>
      </c>
      <c r="O20" s="571" t="s">
        <v>686</v>
      </c>
      <c r="P20" s="481"/>
    </row>
    <row r="21" spans="1:24" ht="36.75" customHeight="1" outlineLevel="1" thickBot="1" x14ac:dyDescent="0.4">
      <c r="C21" s="576"/>
      <c r="D21" s="576"/>
      <c r="E21" s="495" t="s">
        <v>687</v>
      </c>
      <c r="F21" s="495" t="s">
        <v>688</v>
      </c>
      <c r="G21" s="495" t="s">
        <v>689</v>
      </c>
      <c r="H21" s="495" t="s">
        <v>690</v>
      </c>
      <c r="I21" s="495" t="s">
        <v>616</v>
      </c>
      <c r="J21" s="495" t="s">
        <v>691</v>
      </c>
      <c r="K21" s="495" t="s">
        <v>692</v>
      </c>
      <c r="L21" s="496" t="s">
        <v>693</v>
      </c>
      <c r="M21" s="496" t="s">
        <v>694</v>
      </c>
      <c r="N21" s="570"/>
      <c r="O21" s="572"/>
      <c r="P21" s="481"/>
    </row>
    <row r="22" spans="1:24" s="503" customFormat="1" ht="35.25" customHeight="1" outlineLevel="1" thickTop="1" x14ac:dyDescent="0.5">
      <c r="A22" s="481"/>
      <c r="B22" s="481"/>
      <c r="C22" s="497" t="s">
        <v>695</v>
      </c>
      <c r="D22" s="498" t="str">
        <f>VLOOKUP(C18,overview_of_services!$B$2:$I$88,4,FALSE)</f>
        <v>Manual operation or only fixed windows</v>
      </c>
      <c r="E22" s="499">
        <v>0</v>
      </c>
      <c r="F22" s="499">
        <v>0</v>
      </c>
      <c r="G22" s="499">
        <v>0</v>
      </c>
      <c r="H22" s="499">
        <v>0</v>
      </c>
      <c r="I22" s="499">
        <v>0</v>
      </c>
      <c r="J22" s="499">
        <v>0</v>
      </c>
      <c r="K22" s="499">
        <v>0</v>
      </c>
      <c r="L22" s="500" t="s">
        <v>696</v>
      </c>
      <c r="M22" s="500" t="s">
        <v>696</v>
      </c>
      <c r="N22" s="501">
        <v>0</v>
      </c>
      <c r="O22" s="502" t="s">
        <v>721</v>
      </c>
      <c r="P22" s="504"/>
      <c r="R22" s="504">
        <f t="shared" ref="R22:S26" si="3">IF(E22=0,0,(IF(E22="+",1,(IF(E22="++",2,(IF(E22="+++",3,(IF(E22="++++",4,(IF(E22="-",-1,(IF(E22="--",-2,(IF(E22="---",-3,(IF(E22="----",-4,"NA")))))))))))))))))</f>
        <v>0</v>
      </c>
      <c r="S22" s="504">
        <f t="shared" si="3"/>
        <v>0</v>
      </c>
      <c r="T22" s="504">
        <f t="shared" ref="T22:X26" si="4">IF(G22=0,0,(IF(G22="+",1,(IF(G22="++",2,(IF(G22="+++",3,(IF(G22="++++",4,(IF(G22="-",-1,(IF(G22="--",-2,(IF(G22="---",-3,(IF(G22="----",-4,"NA")))))))))))))))))</f>
        <v>0</v>
      </c>
      <c r="U22" s="504">
        <f t="shared" si="4"/>
        <v>0</v>
      </c>
      <c r="V22" s="504">
        <f t="shared" si="4"/>
        <v>0</v>
      </c>
      <c r="W22" s="504">
        <f t="shared" si="4"/>
        <v>0</v>
      </c>
      <c r="X22" s="504">
        <f t="shared" si="4"/>
        <v>0</v>
      </c>
    </row>
    <row r="23" spans="1:24" s="503" customFormat="1" ht="35.25" customHeight="1" outlineLevel="1" x14ac:dyDescent="0.5">
      <c r="A23" s="481"/>
      <c r="B23" s="481"/>
      <c r="C23" s="505" t="s">
        <v>699</v>
      </c>
      <c r="D23" s="506" t="str">
        <f>VLOOKUP(C18,overview_of_services!$B$2:$I$88,5,FALSE)</f>
        <v>Open/closed detection to shut down heating or cooling systems</v>
      </c>
      <c r="E23" s="507" t="s">
        <v>704</v>
      </c>
      <c r="F23" s="499">
        <v>0</v>
      </c>
      <c r="G23" s="499" t="s">
        <v>700</v>
      </c>
      <c r="H23" s="499" t="s">
        <v>700</v>
      </c>
      <c r="I23" s="499">
        <v>0</v>
      </c>
      <c r="J23" s="499">
        <v>0</v>
      </c>
      <c r="K23" s="499">
        <v>0</v>
      </c>
      <c r="L23" s="500" t="s">
        <v>708</v>
      </c>
      <c r="M23" s="500" t="s">
        <v>718</v>
      </c>
      <c r="N23" s="501">
        <v>1</v>
      </c>
      <c r="O23" s="502" t="s">
        <v>721</v>
      </c>
      <c r="P23" s="504"/>
      <c r="R23" s="504">
        <f t="shared" si="3"/>
        <v>2</v>
      </c>
      <c r="S23" s="504">
        <f t="shared" si="3"/>
        <v>0</v>
      </c>
      <c r="T23" s="504">
        <f t="shared" si="4"/>
        <v>1</v>
      </c>
      <c r="U23" s="504">
        <f t="shared" si="4"/>
        <v>1</v>
      </c>
      <c r="V23" s="504">
        <f t="shared" si="4"/>
        <v>0</v>
      </c>
      <c r="W23" s="504">
        <f t="shared" si="4"/>
        <v>0</v>
      </c>
      <c r="X23" s="504">
        <f t="shared" si="4"/>
        <v>0</v>
      </c>
    </row>
    <row r="24" spans="1:24" s="503" customFormat="1" ht="35.25" customHeight="1" outlineLevel="1" x14ac:dyDescent="0.5">
      <c r="A24" s="481"/>
      <c r="B24" s="481"/>
      <c r="C24" s="505" t="s">
        <v>703</v>
      </c>
      <c r="D24" s="506" t="str">
        <f>VLOOKUP(C18,overview_of_services!$B$2:$I$88,6,FALSE)</f>
        <v>Level 1 + Automised mechanical window opening based on room sensor data</v>
      </c>
      <c r="E24" s="507" t="s">
        <v>704</v>
      </c>
      <c r="F24" s="499">
        <v>0</v>
      </c>
      <c r="G24" s="507" t="s">
        <v>704</v>
      </c>
      <c r="H24" s="499" t="s">
        <v>700</v>
      </c>
      <c r="I24" s="499" t="s">
        <v>700</v>
      </c>
      <c r="J24" s="499">
        <v>0</v>
      </c>
      <c r="K24" s="499">
        <v>0</v>
      </c>
      <c r="L24" s="500" t="s">
        <v>708</v>
      </c>
      <c r="M24" s="500" t="s">
        <v>708</v>
      </c>
      <c r="N24" s="501">
        <v>2</v>
      </c>
      <c r="O24" s="502" t="s">
        <v>721</v>
      </c>
      <c r="P24" s="504"/>
      <c r="R24" s="504">
        <f t="shared" si="3"/>
        <v>2</v>
      </c>
      <c r="S24" s="504">
        <f t="shared" si="3"/>
        <v>0</v>
      </c>
      <c r="T24" s="504">
        <f t="shared" si="4"/>
        <v>2</v>
      </c>
      <c r="U24" s="504">
        <f t="shared" si="4"/>
        <v>1</v>
      </c>
      <c r="V24" s="504">
        <f t="shared" si="4"/>
        <v>1</v>
      </c>
      <c r="W24" s="504">
        <f t="shared" si="4"/>
        <v>0</v>
      </c>
      <c r="X24" s="504">
        <f t="shared" si="4"/>
        <v>0</v>
      </c>
    </row>
    <row r="25" spans="1:24" s="503" customFormat="1" ht="35.25" customHeight="1" outlineLevel="1" x14ac:dyDescent="0.5">
      <c r="A25" s="481"/>
      <c r="B25" s="481"/>
      <c r="C25" s="505" t="s">
        <v>706</v>
      </c>
      <c r="D25" s="506" t="str">
        <f>VLOOKUP(C18,overview_of_services!$B$2:$I$88,7,FALSE)</f>
        <v>Level 2 + Centralized coordination of operable windows, e.g. to control free natural night cooling</v>
      </c>
      <c r="E25" s="507" t="s">
        <v>704</v>
      </c>
      <c r="F25" s="499">
        <v>0</v>
      </c>
      <c r="G25" s="507" t="s">
        <v>704</v>
      </c>
      <c r="H25" s="507" t="s">
        <v>704</v>
      </c>
      <c r="I25" s="499" t="s">
        <v>700</v>
      </c>
      <c r="J25" s="499">
        <v>0</v>
      </c>
      <c r="K25" s="499">
        <v>0</v>
      </c>
      <c r="L25" s="500" t="s">
        <v>708</v>
      </c>
      <c r="M25" s="500" t="s">
        <v>708</v>
      </c>
      <c r="N25" s="501">
        <v>3</v>
      </c>
      <c r="O25" s="502" t="s">
        <v>721</v>
      </c>
      <c r="P25" s="504"/>
      <c r="R25" s="504">
        <f t="shared" si="3"/>
        <v>2</v>
      </c>
      <c r="S25" s="504">
        <f t="shared" si="3"/>
        <v>0</v>
      </c>
      <c r="T25" s="504">
        <f t="shared" si="4"/>
        <v>2</v>
      </c>
      <c r="U25" s="504">
        <f t="shared" si="4"/>
        <v>2</v>
      </c>
      <c r="V25" s="504">
        <f t="shared" si="4"/>
        <v>1</v>
      </c>
      <c r="W25" s="504">
        <f t="shared" si="4"/>
        <v>0</v>
      </c>
      <c r="X25" s="504">
        <f t="shared" si="4"/>
        <v>0</v>
      </c>
    </row>
    <row r="26" spans="1:24" s="503" customFormat="1" ht="35.25" customHeight="1" outlineLevel="1" x14ac:dyDescent="0.5">
      <c r="A26" s="481"/>
      <c r="B26" s="481"/>
      <c r="C26" s="505" t="s">
        <v>710</v>
      </c>
      <c r="D26" s="506">
        <f>VLOOKUP(C18,overview_of_services!$B$2:$I$88,8,FALSE)</f>
        <v>0</v>
      </c>
      <c r="E26" s="507"/>
      <c r="F26" s="499"/>
      <c r="G26" s="507"/>
      <c r="H26" s="507"/>
      <c r="I26" s="499"/>
      <c r="J26" s="499"/>
      <c r="K26" s="499"/>
      <c r="L26" s="500"/>
      <c r="M26" s="500"/>
      <c r="N26" s="501"/>
      <c r="O26" s="502"/>
      <c r="P26" s="504"/>
      <c r="R26" s="504">
        <f t="shared" si="3"/>
        <v>0</v>
      </c>
      <c r="S26" s="504">
        <f t="shared" si="3"/>
        <v>0</v>
      </c>
      <c r="T26" s="504">
        <f t="shared" si="4"/>
        <v>0</v>
      </c>
      <c r="U26" s="504">
        <f t="shared" si="4"/>
        <v>0</v>
      </c>
      <c r="V26" s="504">
        <f t="shared" si="4"/>
        <v>0</v>
      </c>
      <c r="W26" s="504">
        <f t="shared" si="4"/>
        <v>0</v>
      </c>
      <c r="X26" s="504">
        <f t="shared" si="4"/>
        <v>0</v>
      </c>
    </row>
    <row r="27" spans="1:24" s="503" customFormat="1" ht="6" customHeight="1" outlineLevel="2" thickBot="1" x14ac:dyDescent="0.4">
      <c r="A27" s="481"/>
      <c r="B27" s="481"/>
      <c r="C27" s="504"/>
      <c r="D27" s="504"/>
      <c r="E27" s="508"/>
      <c r="F27" s="508"/>
      <c r="G27" s="508"/>
      <c r="H27" s="508"/>
      <c r="I27" s="508"/>
      <c r="J27" s="508"/>
      <c r="K27" s="508"/>
      <c r="L27" s="504"/>
      <c r="M27" s="504"/>
      <c r="N27" s="504"/>
      <c r="O27" s="508"/>
      <c r="P27" s="504"/>
    </row>
    <row r="28" spans="1:24" s="503" customFormat="1" ht="30.75" customHeight="1" outlineLevel="2" thickBot="1" x14ac:dyDescent="0.4">
      <c r="A28" s="481"/>
      <c r="B28" s="481"/>
      <c r="C28" s="509"/>
      <c r="D28" s="509" t="s">
        <v>712</v>
      </c>
      <c r="E28" s="510" t="s">
        <v>729</v>
      </c>
      <c r="F28" s="511" t="s">
        <v>729</v>
      </c>
      <c r="G28" s="511" t="s">
        <v>729</v>
      </c>
      <c r="H28" s="511" t="s">
        <v>729</v>
      </c>
      <c r="I28" s="511" t="s">
        <v>729</v>
      </c>
      <c r="J28" s="511" t="s">
        <v>729</v>
      </c>
      <c r="K28" s="511" t="s">
        <v>729</v>
      </c>
      <c r="L28" s="511" t="s">
        <v>729</v>
      </c>
      <c r="M28" s="511" t="s">
        <v>729</v>
      </c>
      <c r="N28" s="511" t="s">
        <v>729</v>
      </c>
      <c r="O28" s="511" t="s">
        <v>729</v>
      </c>
      <c r="P28" s="504"/>
    </row>
    <row r="29" spans="1:24" s="503" customFormat="1" ht="30.75" customHeight="1" outlineLevel="2" thickBot="1" x14ac:dyDescent="0.4">
      <c r="A29" s="481"/>
      <c r="B29" s="481"/>
      <c r="C29" s="509"/>
      <c r="D29" s="509" t="s">
        <v>714</v>
      </c>
      <c r="E29" s="510"/>
      <c r="F29" s="512"/>
      <c r="G29" s="511"/>
      <c r="H29" s="511"/>
      <c r="I29" s="511"/>
      <c r="J29" s="511"/>
      <c r="K29" s="511"/>
      <c r="L29" s="510"/>
      <c r="M29" s="510"/>
      <c r="N29" s="513"/>
      <c r="O29" s="516"/>
      <c r="P29" s="504"/>
    </row>
    <row r="30" spans="1:24" ht="20.25" customHeight="1" outlineLevel="1" thickBot="1" x14ac:dyDescent="0.4">
      <c r="C30" s="481"/>
      <c r="D30" s="481"/>
      <c r="E30" s="481"/>
      <c r="F30" s="481"/>
      <c r="G30" s="482"/>
      <c r="H30" s="482"/>
      <c r="I30" s="482"/>
      <c r="J30" s="482"/>
      <c r="K30" s="482"/>
      <c r="L30" s="482"/>
      <c r="M30" s="482"/>
      <c r="N30" s="482"/>
      <c r="O30" s="482"/>
      <c r="P30" s="481"/>
    </row>
    <row r="31" spans="1:24" ht="17.25" customHeight="1" thickBot="1" x14ac:dyDescent="0.4">
      <c r="C31" s="483" t="s">
        <v>677</v>
      </c>
      <c r="D31" s="484" t="s">
        <v>678</v>
      </c>
      <c r="E31" s="481"/>
      <c r="F31" s="481"/>
      <c r="G31" s="482"/>
      <c r="H31" s="482"/>
      <c r="I31" s="482"/>
      <c r="J31" s="482"/>
      <c r="K31" s="482"/>
      <c r="L31" s="482"/>
      <c r="M31" s="482"/>
      <c r="N31" s="482"/>
      <c r="O31" s="482"/>
      <c r="P31" s="481"/>
    </row>
    <row r="32" spans="1:24" s="492" customFormat="1" ht="36.75" customHeight="1" thickBot="1" x14ac:dyDescent="0.7">
      <c r="A32" s="481"/>
      <c r="B32" s="486" t="s">
        <v>679</v>
      </c>
      <c r="C32" s="487" t="s">
        <v>338</v>
      </c>
      <c r="D32" s="514" t="str">
        <f>VLOOKUP(C32,overview_of_services!$B$2:$I$88,3,FALSE)</f>
        <v>Changing window spectral properties</v>
      </c>
      <c r="E32" s="489"/>
      <c r="F32" s="490" t="s">
        <v>680</v>
      </c>
      <c r="G32" s="578" t="str">
        <f>VLOOKUP(C32,overview_of_services!$B$2:$I$88,2,FALSE)</f>
        <v>Window control</v>
      </c>
      <c r="H32" s="578"/>
      <c r="I32" s="490"/>
      <c r="J32" s="491"/>
      <c r="K32" s="491"/>
      <c r="L32" s="491"/>
      <c r="M32" s="491"/>
      <c r="N32" s="491"/>
      <c r="O32" s="491"/>
      <c r="R32" s="492" t="s">
        <v>681</v>
      </c>
      <c r="S32" s="492">
        <f>ROW()</f>
        <v>32</v>
      </c>
    </row>
    <row r="33" spans="1:81" ht="5.25" customHeight="1" x14ac:dyDescent="0.35">
      <c r="C33" s="493"/>
      <c r="D33" s="493"/>
      <c r="E33" s="493"/>
      <c r="F33" s="493"/>
      <c r="G33" s="493"/>
      <c r="H33" s="493"/>
      <c r="I33" s="493"/>
      <c r="J33" s="493"/>
      <c r="K33" s="493"/>
      <c r="L33" s="493"/>
      <c r="M33" s="493"/>
      <c r="N33" s="493"/>
      <c r="O33" s="494"/>
      <c r="P33" s="481"/>
    </row>
    <row r="34" spans="1:81" ht="20.25" customHeight="1" outlineLevel="1" x14ac:dyDescent="0.35">
      <c r="C34" s="575" t="s">
        <v>682</v>
      </c>
      <c r="D34" s="575"/>
      <c r="E34" s="577" t="s">
        <v>683</v>
      </c>
      <c r="F34" s="577"/>
      <c r="G34" s="577"/>
      <c r="H34" s="577"/>
      <c r="I34" s="577"/>
      <c r="J34" s="577"/>
      <c r="K34" s="577"/>
      <c r="L34" s="573" t="s">
        <v>684</v>
      </c>
      <c r="M34" s="574"/>
      <c r="N34" s="569" t="s">
        <v>685</v>
      </c>
      <c r="O34" s="571" t="s">
        <v>686</v>
      </c>
      <c r="P34" s="481"/>
    </row>
    <row r="35" spans="1:81" ht="36.75" customHeight="1" outlineLevel="1" thickBot="1" x14ac:dyDescent="0.4">
      <c r="C35" s="576"/>
      <c r="D35" s="576"/>
      <c r="E35" s="495" t="s">
        <v>687</v>
      </c>
      <c r="F35" s="495" t="s">
        <v>688</v>
      </c>
      <c r="G35" s="495" t="s">
        <v>689</v>
      </c>
      <c r="H35" s="495" t="s">
        <v>690</v>
      </c>
      <c r="I35" s="495" t="s">
        <v>616</v>
      </c>
      <c r="J35" s="495" t="s">
        <v>691</v>
      </c>
      <c r="K35" s="495" t="s">
        <v>692</v>
      </c>
      <c r="L35" s="496" t="s">
        <v>693</v>
      </c>
      <c r="M35" s="496" t="s">
        <v>694</v>
      </c>
      <c r="N35" s="570"/>
      <c r="O35" s="572"/>
      <c r="P35" s="481"/>
    </row>
    <row r="36" spans="1:81" s="503" customFormat="1" ht="35.25" customHeight="1" outlineLevel="1" thickTop="1" x14ac:dyDescent="0.5">
      <c r="A36" s="481"/>
      <c r="B36" s="481"/>
      <c r="C36" s="497" t="s">
        <v>695</v>
      </c>
      <c r="D36" s="498" t="str">
        <f>VLOOKUP(C32,overview_of_services!$B$2:$I$88,4,FALSE)</f>
        <v>Individual window control</v>
      </c>
      <c r="E36" s="499">
        <v>0</v>
      </c>
      <c r="F36" s="499">
        <v>0</v>
      </c>
      <c r="G36" s="499">
        <v>0</v>
      </c>
      <c r="H36" s="499">
        <v>0</v>
      </c>
      <c r="I36" s="499">
        <v>0</v>
      </c>
      <c r="J36" s="499">
        <v>0</v>
      </c>
      <c r="K36" s="499">
        <v>0</v>
      </c>
      <c r="L36" s="500" t="s">
        <v>696</v>
      </c>
      <c r="M36" s="500" t="s">
        <v>696</v>
      </c>
      <c r="N36" s="501">
        <v>0</v>
      </c>
      <c r="O36" s="502" t="s">
        <v>721</v>
      </c>
      <c r="P36" s="504"/>
      <c r="R36" s="504">
        <f>IF(E36=0,0,(IF(E36="+",1,(IF(E36="++",2,(IF(E36="+++",3,(IF(E36="++++",4,(IF(E36="-",-1,(IF(E36="--",-2,(IF(E36="---",-3,(IF(E36="----",-4,"NA")))))))))))))))))</f>
        <v>0</v>
      </c>
      <c r="S36" s="504">
        <f>IF(F36=0,0,(IF(F36="+",1,(IF(F36="++",2,(IF(F36="+++",3,(IF(F36="++++",4,(IF(F36="-",-1,(IF(F36="--",-2,(IF(F36="---",-3,(IF(F36="----",-4,"NA")))))))))))))))))</f>
        <v>0</v>
      </c>
      <c r="T36" s="504">
        <f t="shared" ref="T36:X40" si="5">IF(G36=0,0,(IF(G36="+",1,(IF(G36="++",2,(IF(G36="+++",3,(IF(G36="++++",4,(IF(G36="-",-1,(IF(G36="--",-2,(IF(G36="---",-3,(IF(G36="----",-4,"NA")))))))))))))))))</f>
        <v>0</v>
      </c>
      <c r="U36" s="504">
        <f t="shared" si="5"/>
        <v>0</v>
      </c>
      <c r="V36" s="504">
        <f t="shared" si="5"/>
        <v>0</v>
      </c>
      <c r="W36" s="504">
        <f t="shared" si="5"/>
        <v>0</v>
      </c>
      <c r="X36" s="504">
        <f t="shared" si="5"/>
        <v>0</v>
      </c>
    </row>
    <row r="37" spans="1:81" s="503" customFormat="1" ht="35.25" customHeight="1" outlineLevel="1" x14ac:dyDescent="0.5">
      <c r="A37" s="481"/>
      <c r="B37" s="481"/>
      <c r="C37" s="505" t="s">
        <v>699</v>
      </c>
      <c r="D37" s="506" t="str">
        <f>VLOOKUP(C32,overview_of_services!$B$2:$I$88,5,FALSE)</f>
        <v>Automized control</v>
      </c>
      <c r="E37" s="499" t="s">
        <v>700</v>
      </c>
      <c r="F37" s="499">
        <v>0</v>
      </c>
      <c r="G37" s="499">
        <v>0</v>
      </c>
      <c r="H37" s="507" t="s">
        <v>704</v>
      </c>
      <c r="I37" s="499">
        <v>0</v>
      </c>
      <c r="J37" s="499">
        <v>0</v>
      </c>
      <c r="K37" s="499">
        <v>0</v>
      </c>
      <c r="L37" s="500" t="s">
        <v>708</v>
      </c>
      <c r="M37" s="500" t="s">
        <v>708</v>
      </c>
      <c r="N37" s="501">
        <v>3</v>
      </c>
      <c r="O37" s="502" t="s">
        <v>721</v>
      </c>
      <c r="P37" s="504"/>
      <c r="R37" s="504">
        <f t="shared" ref="R37:R40" si="6">IF(E37=0,0,(IF(E37="+",1,(IF(E37="++",2,(IF(E37="+++",3,(IF(E37="++++",4,(IF(E37="-",-1,(IF(E37="--",-2,(IF(E37="---",-3,(IF(E37="----",-4,"NA")))))))))))))))))</f>
        <v>1</v>
      </c>
      <c r="S37" s="504">
        <f>IF(F37=0,0,(IF(F37="+",1,(IF(F37="++",2,(IF(F37="+++",3,(IF(F37="++++",4,(IF(F37="-",-1,(IF(F37="--",-2,(IF(F37="---",-3,(IF(F37="----",-4,"NA")))))))))))))))))</f>
        <v>0</v>
      </c>
      <c r="T37" s="504">
        <f t="shared" si="5"/>
        <v>0</v>
      </c>
      <c r="U37" s="504">
        <f t="shared" si="5"/>
        <v>2</v>
      </c>
      <c r="V37" s="504">
        <f t="shared" si="5"/>
        <v>0</v>
      </c>
      <c r="W37" s="504">
        <f t="shared" si="5"/>
        <v>0</v>
      </c>
      <c r="X37" s="504">
        <f t="shared" si="5"/>
        <v>0</v>
      </c>
    </row>
    <row r="38" spans="1:81" s="503" customFormat="1" ht="35.25" customHeight="1" outlineLevel="1" x14ac:dyDescent="0.5">
      <c r="A38" s="481"/>
      <c r="B38" s="481"/>
      <c r="C38" s="505" t="s">
        <v>703</v>
      </c>
      <c r="D38" s="506" t="str">
        <f>VLOOKUP(C32,overview_of_services!$B$2:$I$88,6,FALSE)</f>
        <v>Integrated control with other systems such as heating and lighting</v>
      </c>
      <c r="E38" s="507" t="s">
        <v>707</v>
      </c>
      <c r="F38" s="499">
        <v>0</v>
      </c>
      <c r="G38" s="499">
        <v>0</v>
      </c>
      <c r="H38" s="507" t="s">
        <v>707</v>
      </c>
      <c r="I38" s="499">
        <v>0</v>
      </c>
      <c r="J38" s="499">
        <v>0</v>
      </c>
      <c r="K38" s="499">
        <v>0</v>
      </c>
      <c r="L38" s="500" t="s">
        <v>708</v>
      </c>
      <c r="M38" s="500" t="s">
        <v>708</v>
      </c>
      <c r="N38" s="501">
        <v>6</v>
      </c>
      <c r="O38" s="502" t="s">
        <v>721</v>
      </c>
      <c r="P38" s="504"/>
      <c r="R38" s="504">
        <f t="shared" si="6"/>
        <v>3</v>
      </c>
      <c r="S38" s="504">
        <f>IF(F38=0,0,(IF(F38="+",1,(IF(F38="++",2,(IF(F38="+++",3,(IF(F38="++++",4,(IF(F38="-",-1,(IF(F38="--",-2,(IF(F38="---",-3,(IF(F38="----",-4,"NA")))))))))))))))))</f>
        <v>0</v>
      </c>
      <c r="T38" s="504">
        <f t="shared" si="5"/>
        <v>0</v>
      </c>
      <c r="U38" s="504">
        <f t="shared" si="5"/>
        <v>3</v>
      </c>
      <c r="V38" s="504">
        <f t="shared" si="5"/>
        <v>0</v>
      </c>
      <c r="W38" s="504">
        <f t="shared" si="5"/>
        <v>0</v>
      </c>
      <c r="X38" s="504">
        <f t="shared" si="5"/>
        <v>0</v>
      </c>
    </row>
    <row r="39" spans="1:81" s="503" customFormat="1" ht="35.25" customHeight="1" outlineLevel="1" x14ac:dyDescent="0.5">
      <c r="A39" s="481"/>
      <c r="B39" s="481"/>
      <c r="C39" s="505" t="s">
        <v>706</v>
      </c>
      <c r="D39" s="506">
        <f>VLOOKUP(C32,overview_of_services!$B$2:$I$88,7,FALSE)</f>
        <v>0</v>
      </c>
      <c r="E39" s="499"/>
      <c r="F39" s="499"/>
      <c r="G39" s="499"/>
      <c r="H39" s="499"/>
      <c r="I39" s="499"/>
      <c r="J39" s="499"/>
      <c r="K39" s="499"/>
      <c r="L39" s="500" t="s">
        <v>708</v>
      </c>
      <c r="M39" s="500" t="s">
        <v>708</v>
      </c>
      <c r="N39" s="501">
        <v>3</v>
      </c>
      <c r="O39" s="502" t="s">
        <v>721</v>
      </c>
      <c r="P39" s="504"/>
      <c r="R39" s="504">
        <f t="shared" si="6"/>
        <v>0</v>
      </c>
      <c r="S39" s="504">
        <f>IF(F39=0,0,(IF(F39="+",1,(IF(F39="++",2,(IF(F39="+++",3,(IF(F39="++++",4,(IF(F39="-",-1,(IF(F39="--",-2,(IF(F39="---",-3,(IF(F39="----",-4,"NA")))))))))))))))))</f>
        <v>0</v>
      </c>
      <c r="T39" s="504">
        <f t="shared" si="5"/>
        <v>0</v>
      </c>
      <c r="U39" s="504">
        <f t="shared" si="5"/>
        <v>0</v>
      </c>
      <c r="V39" s="504">
        <f t="shared" si="5"/>
        <v>0</v>
      </c>
      <c r="W39" s="504">
        <f t="shared" si="5"/>
        <v>0</v>
      </c>
      <c r="X39" s="504">
        <f t="shared" si="5"/>
        <v>0</v>
      </c>
    </row>
    <row r="40" spans="1:81" s="503" customFormat="1" ht="35.25" customHeight="1" outlineLevel="1" x14ac:dyDescent="0.5">
      <c r="A40" s="481"/>
      <c r="B40" s="481"/>
      <c r="C40" s="505" t="s">
        <v>710</v>
      </c>
      <c r="D40" s="506">
        <f>VLOOKUP(C32,overview_of_services!$B$2:$I$88,8,FALSE)</f>
        <v>0</v>
      </c>
      <c r="E40" s="507"/>
      <c r="F40" s="499"/>
      <c r="G40" s="507"/>
      <c r="H40" s="507"/>
      <c r="I40" s="499"/>
      <c r="J40" s="499"/>
      <c r="K40" s="499"/>
      <c r="L40" s="500"/>
      <c r="M40" s="500"/>
      <c r="N40" s="501"/>
      <c r="O40" s="502"/>
      <c r="P40" s="504"/>
      <c r="R40" s="504">
        <f t="shared" si="6"/>
        <v>0</v>
      </c>
      <c r="S40" s="504">
        <f>IF(F40=0,0,(IF(F40="+",1,(IF(F40="++",2,(IF(F40="+++",3,(IF(F40="++++",4,(IF(F40="-",-1,(IF(F40="--",-2,(IF(F40="---",-3,(IF(F40="----",-4,"NA")))))))))))))))))</f>
        <v>0</v>
      </c>
      <c r="T40" s="504">
        <f t="shared" si="5"/>
        <v>0</v>
      </c>
      <c r="U40" s="504">
        <f t="shared" si="5"/>
        <v>0</v>
      </c>
      <c r="V40" s="504">
        <f t="shared" si="5"/>
        <v>0</v>
      </c>
      <c r="W40" s="504">
        <f t="shared" si="5"/>
        <v>0</v>
      </c>
      <c r="X40" s="504">
        <f t="shared" si="5"/>
        <v>0</v>
      </c>
    </row>
    <row r="41" spans="1:81" s="503" customFormat="1" ht="6" customHeight="1" outlineLevel="2" thickBot="1" x14ac:dyDescent="0.4">
      <c r="A41" s="481"/>
      <c r="B41" s="481"/>
      <c r="C41" s="504"/>
      <c r="D41" s="504"/>
      <c r="E41" s="508"/>
      <c r="F41" s="508"/>
      <c r="G41" s="508"/>
      <c r="H41" s="508"/>
      <c r="I41" s="508"/>
      <c r="J41" s="508"/>
      <c r="K41" s="508"/>
      <c r="L41" s="504"/>
      <c r="M41" s="504"/>
      <c r="N41" s="504"/>
      <c r="O41" s="508"/>
      <c r="P41" s="504"/>
    </row>
    <row r="42" spans="1:81" s="503" customFormat="1" ht="30.75" customHeight="1" outlineLevel="2" thickBot="1" x14ac:dyDescent="0.4">
      <c r="A42" s="481"/>
      <c r="B42" s="481"/>
      <c r="C42" s="509"/>
      <c r="D42" s="509" t="s">
        <v>712</v>
      </c>
      <c r="E42" s="510" t="s">
        <v>729</v>
      </c>
      <c r="F42" s="511" t="s">
        <v>729</v>
      </c>
      <c r="G42" s="511" t="s">
        <v>729</v>
      </c>
      <c r="H42" s="511" t="s">
        <v>729</v>
      </c>
      <c r="I42" s="511" t="s">
        <v>729</v>
      </c>
      <c r="J42" s="511" t="s">
        <v>729</v>
      </c>
      <c r="K42" s="511" t="s">
        <v>729</v>
      </c>
      <c r="L42" s="511" t="s">
        <v>729</v>
      </c>
      <c r="M42" s="511" t="s">
        <v>729</v>
      </c>
      <c r="N42" s="511" t="s">
        <v>729</v>
      </c>
      <c r="O42" s="511" t="s">
        <v>729</v>
      </c>
      <c r="P42" s="504"/>
    </row>
    <row r="43" spans="1:81" s="503" customFormat="1" ht="30.75" customHeight="1" outlineLevel="2" thickBot="1" x14ac:dyDescent="0.4">
      <c r="A43" s="481"/>
      <c r="B43" s="481"/>
      <c r="C43" s="509"/>
      <c r="D43" s="509" t="s">
        <v>714</v>
      </c>
      <c r="E43" s="510"/>
      <c r="F43" s="512"/>
      <c r="G43" s="511"/>
      <c r="H43" s="511"/>
      <c r="I43" s="511"/>
      <c r="J43" s="511"/>
      <c r="K43" s="511"/>
      <c r="L43" s="510"/>
      <c r="M43" s="510"/>
      <c r="N43" s="513"/>
      <c r="O43" s="516"/>
      <c r="P43" s="504"/>
    </row>
    <row r="44" spans="1:81" ht="20.25" customHeight="1" outlineLevel="1" thickBot="1" x14ac:dyDescent="0.4">
      <c r="C44" s="481"/>
      <c r="D44" s="481"/>
      <c r="E44" s="481"/>
      <c r="F44" s="481"/>
      <c r="G44" s="482"/>
      <c r="H44" s="482"/>
      <c r="I44" s="482"/>
      <c r="J44" s="482"/>
      <c r="K44" s="482"/>
      <c r="L44" s="482"/>
      <c r="M44" s="482"/>
      <c r="N44" s="482"/>
      <c r="O44" s="482"/>
      <c r="P44" s="481"/>
    </row>
    <row r="45" spans="1:81" ht="20.25" customHeight="1" outlineLevel="1" thickBot="1" x14ac:dyDescent="0.4">
      <c r="C45" s="483" t="s">
        <v>677</v>
      </c>
      <c r="D45" s="484" t="s">
        <v>678</v>
      </c>
      <c r="E45" s="481"/>
      <c r="F45" s="481"/>
      <c r="G45" s="482"/>
      <c r="H45" s="482"/>
      <c r="I45" s="482"/>
      <c r="J45" s="482"/>
      <c r="K45" s="482"/>
      <c r="L45" s="482"/>
      <c r="M45" s="482"/>
      <c r="N45" s="482"/>
      <c r="O45" s="482"/>
      <c r="P45" s="481"/>
    </row>
    <row r="46" spans="1:81" ht="16" thickBot="1" x14ac:dyDescent="0.4">
      <c r="C46" s="487" t="s">
        <v>1085</v>
      </c>
      <c r="D46" s="514" t="str">
        <f>VLOOKUP(C46,overview_of_services!$B$2:$I$88,3,FALSE)</f>
        <v>Reporting information regarding performance</v>
      </c>
      <c r="E46" s="489"/>
      <c r="F46" s="490" t="s">
        <v>680</v>
      </c>
      <c r="G46" s="578" t="str">
        <f>VLOOKUP(C46,overview_of_services!$B$2:$I$88,2,FALSE)</f>
        <v xml:space="preserve">Feedback - Reporting information </v>
      </c>
      <c r="H46" s="578"/>
      <c r="I46" s="490"/>
      <c r="J46" s="491"/>
      <c r="K46" s="491"/>
      <c r="L46" s="491"/>
      <c r="M46" s="491"/>
      <c r="N46" s="491"/>
      <c r="O46" s="491"/>
      <c r="P46" s="491"/>
      <c r="Q46" s="491"/>
      <c r="R46" s="492" t="s">
        <v>681</v>
      </c>
      <c r="S46" s="492">
        <f>ROW()</f>
        <v>46</v>
      </c>
      <c r="T46" s="492"/>
      <c r="U46" s="492"/>
      <c r="V46" s="492"/>
      <c r="W46" s="492"/>
      <c r="X46" s="492"/>
      <c r="Y46" s="492"/>
      <c r="Z46" s="492"/>
      <c r="AA46" s="492"/>
      <c r="AB46" s="492"/>
      <c r="AC46" s="492"/>
      <c r="AD46" s="492"/>
      <c r="AE46" s="492"/>
      <c r="AF46" s="492"/>
      <c r="AG46" s="492"/>
      <c r="AH46" s="492"/>
      <c r="AI46" s="492"/>
      <c r="AJ46" s="492"/>
      <c r="AK46" s="492"/>
      <c r="AL46" s="492"/>
      <c r="AM46" s="492"/>
      <c r="AN46" s="492"/>
      <c r="AO46" s="492"/>
      <c r="AP46" s="492"/>
      <c r="AQ46" s="492"/>
      <c r="AR46" s="492"/>
      <c r="AS46" s="492"/>
      <c r="AT46" s="492"/>
      <c r="AU46" s="492"/>
      <c r="AV46" s="492"/>
      <c r="AW46" s="492"/>
      <c r="AX46" s="492"/>
      <c r="AY46" s="492"/>
      <c r="AZ46" s="492"/>
      <c r="BA46" s="492"/>
      <c r="BB46" s="492"/>
      <c r="BC46" s="492"/>
      <c r="BD46" s="492"/>
      <c r="BE46" s="492"/>
      <c r="BF46" s="492"/>
      <c r="BG46" s="492"/>
      <c r="BH46" s="492"/>
      <c r="BI46" s="492"/>
      <c r="BJ46" s="492"/>
      <c r="BK46" s="492"/>
      <c r="BL46" s="492"/>
      <c r="BM46" s="492"/>
      <c r="BN46" s="492"/>
      <c r="BO46" s="492"/>
      <c r="BP46" s="492"/>
      <c r="BQ46" s="492"/>
      <c r="BR46" s="492"/>
      <c r="BS46" s="492"/>
      <c r="BT46" s="492"/>
      <c r="BU46" s="492"/>
      <c r="BV46" s="492"/>
      <c r="BW46" s="492"/>
      <c r="BX46" s="492"/>
      <c r="BY46" s="492"/>
      <c r="BZ46" s="492"/>
      <c r="CA46" s="492"/>
      <c r="CB46" s="492"/>
      <c r="CC46" s="492"/>
    </row>
    <row r="47" spans="1:81" x14ac:dyDescent="0.35">
      <c r="C47" s="493"/>
      <c r="D47" s="493"/>
      <c r="E47" s="493"/>
      <c r="F47" s="493"/>
      <c r="G47" s="493"/>
      <c r="H47" s="493"/>
      <c r="I47" s="493"/>
      <c r="J47" s="493"/>
      <c r="K47" s="493"/>
      <c r="L47" s="493"/>
      <c r="M47" s="493"/>
      <c r="N47" s="493"/>
      <c r="O47" s="494"/>
    </row>
    <row r="48" spans="1:81" x14ac:dyDescent="0.35">
      <c r="C48" s="575" t="s">
        <v>682</v>
      </c>
      <c r="D48" s="575"/>
      <c r="E48" s="577" t="s">
        <v>683</v>
      </c>
      <c r="F48" s="577"/>
      <c r="G48" s="577"/>
      <c r="H48" s="577"/>
      <c r="I48" s="577"/>
      <c r="J48" s="577"/>
      <c r="K48" s="577"/>
      <c r="L48" s="573" t="s">
        <v>684</v>
      </c>
      <c r="M48" s="574"/>
      <c r="N48" s="569" t="s">
        <v>685</v>
      </c>
      <c r="O48" s="571" t="s">
        <v>686</v>
      </c>
    </row>
    <row r="49" spans="3:24" ht="29.5" thickBot="1" x14ac:dyDescent="0.4">
      <c r="C49" s="576"/>
      <c r="D49" s="576"/>
      <c r="E49" s="495" t="s">
        <v>687</v>
      </c>
      <c r="F49" s="495" t="s">
        <v>688</v>
      </c>
      <c r="G49" s="495" t="s">
        <v>689</v>
      </c>
      <c r="H49" s="495" t="s">
        <v>690</v>
      </c>
      <c r="I49" s="495" t="s">
        <v>616</v>
      </c>
      <c r="J49" s="495" t="s">
        <v>691</v>
      </c>
      <c r="K49" s="495" t="s">
        <v>692</v>
      </c>
      <c r="L49" s="496" t="s">
        <v>693</v>
      </c>
      <c r="M49" s="496" t="s">
        <v>694</v>
      </c>
      <c r="N49" s="570"/>
      <c r="O49" s="572"/>
    </row>
    <row r="50" spans="3:24" ht="21.5" thickTop="1" x14ac:dyDescent="0.5">
      <c r="C50" s="497" t="s">
        <v>695</v>
      </c>
      <c r="D50" s="498" t="str">
        <f>VLOOKUP(C46,overview_of_services!$B$2:$I$88,4,FALSE)</f>
        <v>No reporting</v>
      </c>
      <c r="E50" s="499">
        <v>0</v>
      </c>
      <c r="F50" s="499">
        <v>0</v>
      </c>
      <c r="G50" s="499">
        <v>0</v>
      </c>
      <c r="H50" s="499">
        <v>0</v>
      </c>
      <c r="I50" s="499">
        <v>0</v>
      </c>
      <c r="J50" s="499">
        <v>0</v>
      </c>
      <c r="K50" s="499">
        <v>0</v>
      </c>
      <c r="L50" s="500"/>
      <c r="M50" s="500"/>
      <c r="N50" s="501"/>
      <c r="O50" s="502" t="s">
        <v>721</v>
      </c>
      <c r="R50" s="504">
        <f>IF(E50=0,0,(IF(E50="+",1,(IF(E50="++",2,(IF(E50="+++",3,(IF(E50="++++",4,(IF(E50="-",-1,(IF(E50="--",-2,(IF(E50="---",-3,(IF(E50="----",-4,"NA")))))))))))))))))</f>
        <v>0</v>
      </c>
      <c r="S50" s="504">
        <f>IF(F50=0,0,(IF(F50="+",1,(IF(F50="++",2,(IF(F50="+++",3,(IF(F50="++++",4,(IF(F50="-",-1,(IF(F50="--",-2,(IF(F50="---",-3,(IF(F50="----",-4,"NA")))))))))))))))))</f>
        <v>0</v>
      </c>
      <c r="T50" s="504">
        <f t="shared" ref="T50:T54" si="7">IF(G50=0,0,(IF(G50="+",1,(IF(G50="++",2,(IF(G50="+++",3,(IF(G50="++++",4,(IF(G50="-",-1,(IF(G50="--",-2,(IF(G50="---",-3,(IF(G50="----",-4,"NA")))))))))))))))))</f>
        <v>0</v>
      </c>
      <c r="U50" s="504">
        <f t="shared" ref="U50:U54" si="8">IF(H50=0,0,(IF(H50="+",1,(IF(H50="++",2,(IF(H50="+++",3,(IF(H50="++++",4,(IF(H50="-",-1,(IF(H50="--",-2,(IF(H50="---",-3,(IF(H50="----",-4,"NA")))))))))))))))))</f>
        <v>0</v>
      </c>
      <c r="V50" s="504">
        <f t="shared" ref="V50:V54" si="9">IF(I50=0,0,(IF(I50="+",1,(IF(I50="++",2,(IF(I50="+++",3,(IF(I50="++++",4,(IF(I50="-",-1,(IF(I50="--",-2,(IF(I50="---",-3,(IF(I50="----",-4,"NA")))))))))))))))))</f>
        <v>0</v>
      </c>
      <c r="W50" s="504">
        <f t="shared" ref="W50:W54" si="10">IF(J50=0,0,(IF(J50="+",1,(IF(J50="++",2,(IF(J50="+++",3,(IF(J50="++++",4,(IF(J50="-",-1,(IF(J50="--",-2,(IF(J50="---",-3,(IF(J50="----",-4,"NA")))))))))))))))))</f>
        <v>0</v>
      </c>
      <c r="X50" s="504">
        <f t="shared" ref="X50:X54" si="11">IF(K50=0,0,(IF(K50="+",1,(IF(K50="++",2,(IF(K50="+++",3,(IF(K50="++++",4,(IF(K50="-",-1,(IF(K50="--",-2,(IF(K50="---",-3,(IF(K50="----",-4,"NA")))))))))))))))))</f>
        <v>0</v>
      </c>
    </row>
    <row r="51" spans="3:24" ht="21" x14ac:dyDescent="0.5">
      <c r="C51" s="505" t="s">
        <v>699</v>
      </c>
      <c r="D51" s="506" t="str">
        <f>VLOOKUP(C46,overview_of_services!$B$2:$I$88,5,FALSE)</f>
        <v>Position of each product &amp; fault detection</v>
      </c>
      <c r="E51" s="507" t="s">
        <v>700</v>
      </c>
      <c r="F51" s="499">
        <v>0</v>
      </c>
      <c r="G51" s="499">
        <v>0</v>
      </c>
      <c r="H51" s="499">
        <v>0</v>
      </c>
      <c r="I51" s="499">
        <v>0</v>
      </c>
      <c r="J51" s="507" t="s">
        <v>700</v>
      </c>
      <c r="K51" s="507" t="s">
        <v>700</v>
      </c>
      <c r="L51" s="500"/>
      <c r="M51" s="500"/>
      <c r="N51" s="501"/>
      <c r="O51" s="502" t="s">
        <v>721</v>
      </c>
      <c r="R51" s="504">
        <f t="shared" ref="R51:R54" si="12">IF(E51=0,0,(IF(E51="+",1,(IF(E51="++",2,(IF(E51="+++",3,(IF(E51="++++",4,(IF(E51="-",-1,(IF(E51="--",-2,(IF(E51="---",-3,(IF(E51="----",-4,"NA")))))))))))))))))</f>
        <v>1</v>
      </c>
      <c r="S51" s="504">
        <f>IF(F51=0,0,(IF(F51="+",1,(IF(F51="++",2,(IF(F51="+++",3,(IF(F51="++++",4,(IF(F51="-",-1,(IF(F51="--",-2,(IF(F51="---",-3,(IF(F51="----",-4,"NA")))))))))))))))))</f>
        <v>0</v>
      </c>
      <c r="T51" s="504">
        <f t="shared" si="7"/>
        <v>0</v>
      </c>
      <c r="U51" s="504">
        <f t="shared" si="8"/>
        <v>0</v>
      </c>
      <c r="V51" s="504">
        <f t="shared" si="9"/>
        <v>0</v>
      </c>
      <c r="W51" s="504">
        <f t="shared" si="10"/>
        <v>1</v>
      </c>
      <c r="X51" s="504">
        <f t="shared" si="11"/>
        <v>1</v>
      </c>
    </row>
    <row r="52" spans="3:24" ht="33" customHeight="1" x14ac:dyDescent="0.5">
      <c r="C52" s="505" t="s">
        <v>703</v>
      </c>
      <c r="D52" s="506" t="str">
        <f>VLOOKUP(C46,overview_of_services!$B$2:$I$88,6,FALSE)</f>
        <v>Position of each product, fault detection &amp; predictive maintenance</v>
      </c>
      <c r="E52" s="499" t="s">
        <v>700</v>
      </c>
      <c r="F52" s="499">
        <v>0</v>
      </c>
      <c r="G52" s="499">
        <v>0</v>
      </c>
      <c r="H52" s="499">
        <v>0</v>
      </c>
      <c r="I52" s="499">
        <v>0</v>
      </c>
      <c r="J52" s="507" t="s">
        <v>700</v>
      </c>
      <c r="K52" s="507" t="s">
        <v>704</v>
      </c>
      <c r="L52" s="500"/>
      <c r="M52" s="500"/>
      <c r="N52" s="501"/>
      <c r="O52" s="502" t="s">
        <v>721</v>
      </c>
      <c r="R52" s="504">
        <f t="shared" si="12"/>
        <v>1</v>
      </c>
      <c r="S52" s="504">
        <f>IF(F52=0,0,(IF(F52="+",1,(IF(F52="++",2,(IF(F52="+++",3,(IF(F52="++++",4,(IF(F52="-",-1,(IF(F52="--",-2,(IF(F52="---",-3,(IF(F52="----",-4,"NA")))))))))))))))))</f>
        <v>0</v>
      </c>
      <c r="T52" s="504">
        <f t="shared" si="7"/>
        <v>0</v>
      </c>
      <c r="U52" s="504">
        <f t="shared" si="8"/>
        <v>0</v>
      </c>
      <c r="V52" s="504">
        <f t="shared" si="9"/>
        <v>0</v>
      </c>
      <c r="W52" s="504">
        <f t="shared" si="10"/>
        <v>1</v>
      </c>
      <c r="X52" s="504">
        <f t="shared" si="11"/>
        <v>2</v>
      </c>
    </row>
    <row r="53" spans="3:24" ht="29" x14ac:dyDescent="0.5">
      <c r="C53" s="505" t="s">
        <v>706</v>
      </c>
      <c r="D53" s="506" t="str">
        <f>VLOOKUP(C46,overview_of_services!$B$2:$I$88,7,FALSE)</f>
        <v>Position of each product, fault detection, predictive maintenance, real-time sensor data (wind, lux, temperature…)</v>
      </c>
      <c r="E53" s="507" t="s">
        <v>700</v>
      </c>
      <c r="F53" s="499">
        <v>0</v>
      </c>
      <c r="G53" s="499">
        <v>0</v>
      </c>
      <c r="H53" s="499">
        <v>0</v>
      </c>
      <c r="I53" s="499">
        <v>0</v>
      </c>
      <c r="J53" s="507" t="s">
        <v>700</v>
      </c>
      <c r="K53" s="507" t="s">
        <v>707</v>
      </c>
      <c r="L53" s="500"/>
      <c r="M53" s="500"/>
      <c r="N53" s="501"/>
      <c r="O53" s="502" t="s">
        <v>721</v>
      </c>
      <c r="R53" s="504">
        <f t="shared" si="12"/>
        <v>1</v>
      </c>
      <c r="S53" s="504">
        <f>IF(F53=0,0,(IF(F53="+",1,(IF(F53="++",2,(IF(F53="+++",3,(IF(F53="++++",4,(IF(F53="-",-1,(IF(F53="--",-2,(IF(F53="---",-3,(IF(F53="----",-4,"NA")))))))))))))))))</f>
        <v>0</v>
      </c>
      <c r="T53" s="504">
        <f t="shared" si="7"/>
        <v>0</v>
      </c>
      <c r="U53" s="504">
        <f t="shared" si="8"/>
        <v>0</v>
      </c>
      <c r="V53" s="504">
        <f t="shared" si="9"/>
        <v>0</v>
      </c>
      <c r="W53" s="504">
        <f t="shared" si="10"/>
        <v>1</v>
      </c>
      <c r="X53" s="504">
        <f t="shared" si="11"/>
        <v>3</v>
      </c>
    </row>
    <row r="54" spans="3:24" ht="55" customHeight="1" x14ac:dyDescent="0.5">
      <c r="C54" s="505" t="s">
        <v>710</v>
      </c>
      <c r="D54" s="506" t="str">
        <f>VLOOKUP(C46,overview_of_services!$B$2:$I$88,8,FALSE)</f>
        <v>Position of each product, fault detection, predictive maintenance, real-time &amp; historical sensor data (wind, lux, temperature…)</v>
      </c>
      <c r="E54" s="507" t="s">
        <v>700</v>
      </c>
      <c r="F54" s="499">
        <v>0</v>
      </c>
      <c r="G54" s="499">
        <v>0</v>
      </c>
      <c r="H54" s="499" t="s">
        <v>700</v>
      </c>
      <c r="I54" s="499">
        <v>0</v>
      </c>
      <c r="J54" s="507" t="s">
        <v>704</v>
      </c>
      <c r="K54" s="507" t="s">
        <v>707</v>
      </c>
      <c r="L54" s="500"/>
      <c r="M54" s="500"/>
      <c r="N54" s="501"/>
      <c r="O54" s="502"/>
      <c r="R54" s="504">
        <f t="shared" si="12"/>
        <v>1</v>
      </c>
      <c r="S54" s="504">
        <f>IF(F54=0,0,(IF(F54="+",1,(IF(F54="++",2,(IF(F54="+++",3,(IF(F54="++++",4,(IF(F54="-",-1,(IF(F54="--",-2,(IF(F54="---",-3,(IF(F54="----",-4,"NA")))))))))))))))))</f>
        <v>0</v>
      </c>
      <c r="T54" s="504">
        <f t="shared" si="7"/>
        <v>0</v>
      </c>
      <c r="U54" s="504">
        <f t="shared" si="8"/>
        <v>1</v>
      </c>
      <c r="V54" s="504">
        <f t="shared" si="9"/>
        <v>0</v>
      </c>
      <c r="W54" s="504">
        <f t="shared" si="10"/>
        <v>2</v>
      </c>
      <c r="X54" s="504">
        <f t="shared" si="11"/>
        <v>3</v>
      </c>
    </row>
    <row r="55" spans="3:24" ht="15" thickBot="1" x14ac:dyDescent="0.4">
      <c r="C55" s="504"/>
      <c r="D55" s="504"/>
      <c r="E55" s="508"/>
      <c r="F55" s="508"/>
      <c r="G55" s="508"/>
      <c r="H55" s="508"/>
      <c r="I55" s="508"/>
      <c r="J55" s="508"/>
      <c r="K55" s="508"/>
      <c r="L55" s="504"/>
      <c r="M55" s="504"/>
      <c r="N55" s="504"/>
      <c r="O55" s="508"/>
    </row>
    <row r="56" spans="3:24" ht="15" thickBot="1" x14ac:dyDescent="0.4">
      <c r="C56" s="509"/>
      <c r="D56" s="509" t="s">
        <v>712</v>
      </c>
      <c r="E56" s="510" t="s">
        <v>729</v>
      </c>
      <c r="F56" s="511" t="s">
        <v>729</v>
      </c>
      <c r="G56" s="511" t="s">
        <v>729</v>
      </c>
      <c r="H56" s="511" t="s">
        <v>729</v>
      </c>
      <c r="I56" s="511" t="s">
        <v>729</v>
      </c>
      <c r="J56" s="511" t="s">
        <v>729</v>
      </c>
      <c r="K56" s="511" t="s">
        <v>729</v>
      </c>
      <c r="L56" s="511" t="s">
        <v>729</v>
      </c>
      <c r="M56" s="511" t="s">
        <v>729</v>
      </c>
      <c r="N56" s="511" t="s">
        <v>729</v>
      </c>
      <c r="O56" s="511" t="s">
        <v>729</v>
      </c>
    </row>
    <row r="57" spans="3:24" ht="15" thickBot="1" x14ac:dyDescent="0.4">
      <c r="C57" s="509"/>
      <c r="D57" s="509" t="s">
        <v>714</v>
      </c>
      <c r="E57" s="510"/>
      <c r="F57" s="512"/>
      <c r="G57" s="511"/>
      <c r="H57" s="511"/>
      <c r="I57" s="511"/>
      <c r="J57" s="511"/>
      <c r="K57" s="511"/>
      <c r="L57" s="510"/>
      <c r="M57" s="510"/>
      <c r="N57" s="513"/>
      <c r="O57" s="516"/>
    </row>
  </sheetData>
  <sheetProtection algorithmName="SHA-512" hashValue="MJij83oDxOr3kpEvuFufV1+TPwU/fMPIdaKh1bLlQJXzAtOD2XIg/HVFIkmsCYgp3ZUGc+LZfxUUxG5Qwjh1gw==" saltValue="psLZPMAwyQD8KAUgETB9QA==" spinCount="100000" sheet="1" objects="1" scenarios="1"/>
  <mergeCells count="24">
    <mergeCell ref="O34:O35"/>
    <mergeCell ref="C34:D35"/>
    <mergeCell ref="E34:K34"/>
    <mergeCell ref="N34:N35"/>
    <mergeCell ref="L34:M34"/>
    <mergeCell ref="G4:H4"/>
    <mergeCell ref="G32:H32"/>
    <mergeCell ref="O6:O7"/>
    <mergeCell ref="C20:D21"/>
    <mergeCell ref="E20:K20"/>
    <mergeCell ref="N20:N21"/>
    <mergeCell ref="O20:O21"/>
    <mergeCell ref="N6:N7"/>
    <mergeCell ref="L20:M20"/>
    <mergeCell ref="G18:H18"/>
    <mergeCell ref="C6:D7"/>
    <mergeCell ref="E6:K6"/>
    <mergeCell ref="L6:M6"/>
    <mergeCell ref="O48:O49"/>
    <mergeCell ref="G46:H46"/>
    <mergeCell ref="C48:D49"/>
    <mergeCell ref="E48:K48"/>
    <mergeCell ref="L48:M48"/>
    <mergeCell ref="N48:N49"/>
  </mergeCells>
  <conditionalFormatting sqref="N9:O11 J12:O12 J10:K11 C9:K9 C8:O8 C11:G12 C10:H10 C26:O26 C22:K25 C40:O40 C36:K39">
    <cfRule type="expression" dxfId="535" priority="66">
      <formula>$D8=0</formula>
    </cfRule>
  </conditionalFormatting>
  <conditionalFormatting sqref="B4">
    <cfRule type="expression" dxfId="534" priority="85">
      <formula>E4="yes"</formula>
    </cfRule>
  </conditionalFormatting>
  <conditionalFormatting sqref="B18">
    <cfRule type="expression" dxfId="533" priority="83">
      <formula>E18="yes"</formula>
    </cfRule>
  </conditionalFormatting>
  <conditionalFormatting sqref="B32">
    <cfRule type="expression" dxfId="532" priority="81">
      <formula>E32="yes"</formula>
    </cfRule>
  </conditionalFormatting>
  <conditionalFormatting sqref="C12">
    <cfRule type="expression" dxfId="531" priority="65">
      <formula>$D12=0</formula>
    </cfRule>
  </conditionalFormatting>
  <conditionalFormatting sqref="D12">
    <cfRule type="expression" dxfId="530" priority="64">
      <formula>$D12=0</formula>
    </cfRule>
  </conditionalFormatting>
  <conditionalFormatting sqref="N22:N25">
    <cfRule type="expression" dxfId="529" priority="63">
      <formula>$D22=0</formula>
    </cfRule>
  </conditionalFormatting>
  <conditionalFormatting sqref="C26">
    <cfRule type="expression" dxfId="528" priority="62">
      <formula>$D26=0</formula>
    </cfRule>
  </conditionalFormatting>
  <conditionalFormatting sqref="D26">
    <cfRule type="expression" dxfId="527" priority="61">
      <formula>$D26=0</formula>
    </cfRule>
  </conditionalFormatting>
  <conditionalFormatting sqref="N36:N39">
    <cfRule type="expression" dxfId="526" priority="60">
      <formula>$D36=0</formula>
    </cfRule>
  </conditionalFormatting>
  <conditionalFormatting sqref="C40">
    <cfRule type="expression" dxfId="525" priority="59">
      <formula>$D40=0</formula>
    </cfRule>
  </conditionalFormatting>
  <conditionalFormatting sqref="D40">
    <cfRule type="expression" dxfId="524" priority="58">
      <formula>$D40=0</formula>
    </cfRule>
  </conditionalFormatting>
  <conditionalFormatting sqref="L37:L39">
    <cfRule type="expression" dxfId="523" priority="20">
      <formula>$D37=0</formula>
    </cfRule>
  </conditionalFormatting>
  <conditionalFormatting sqref="M11">
    <cfRule type="expression" dxfId="522" priority="34">
      <formula>$D11=0</formula>
    </cfRule>
  </conditionalFormatting>
  <conditionalFormatting sqref="L9">
    <cfRule type="expression" dxfId="521" priority="32">
      <formula>$D9=0</formula>
    </cfRule>
  </conditionalFormatting>
  <conditionalFormatting sqref="M9">
    <cfRule type="expression" dxfId="520" priority="31">
      <formula>$D9=0</formula>
    </cfRule>
  </conditionalFormatting>
  <conditionalFormatting sqref="M10">
    <cfRule type="expression" dxfId="519" priority="30">
      <formula>$D10=0</formula>
    </cfRule>
  </conditionalFormatting>
  <conditionalFormatting sqref="L10">
    <cfRule type="expression" dxfId="518" priority="29">
      <formula>$D10=0</formula>
    </cfRule>
  </conditionalFormatting>
  <conditionalFormatting sqref="L11">
    <cfRule type="expression" dxfId="517" priority="28">
      <formula>$D11=0</formula>
    </cfRule>
  </conditionalFormatting>
  <conditionalFormatting sqref="L22:M22">
    <cfRule type="expression" dxfId="516" priority="27">
      <formula>$D22=0</formula>
    </cfRule>
  </conditionalFormatting>
  <conditionalFormatting sqref="L23:L25">
    <cfRule type="expression" dxfId="515" priority="26">
      <formula>$D23=0</formula>
    </cfRule>
  </conditionalFormatting>
  <conditionalFormatting sqref="M37">
    <cfRule type="expression" dxfId="514" priority="16">
      <formula>$D37=0</formula>
    </cfRule>
  </conditionalFormatting>
  <conditionalFormatting sqref="M23">
    <cfRule type="expression" dxfId="513" priority="24">
      <formula>$D23=0</formula>
    </cfRule>
  </conditionalFormatting>
  <conditionalFormatting sqref="M24">
    <cfRule type="expression" dxfId="512" priority="23">
      <formula>$D24=0</formula>
    </cfRule>
  </conditionalFormatting>
  <conditionalFormatting sqref="M25">
    <cfRule type="expression" dxfId="511" priority="22">
      <formula>$D25=0</formula>
    </cfRule>
  </conditionalFormatting>
  <conditionalFormatting sqref="L36:M36">
    <cfRule type="expression" dxfId="510" priority="21">
      <formula>$D36=0</formula>
    </cfRule>
  </conditionalFormatting>
  <conditionalFormatting sqref="M38">
    <cfRule type="expression" dxfId="509" priority="18">
      <formula>$D38=0</formula>
    </cfRule>
  </conditionalFormatting>
  <conditionalFormatting sqref="M39">
    <cfRule type="expression" dxfId="508" priority="17">
      <formula>$D39=0</formula>
    </cfRule>
  </conditionalFormatting>
  <conditionalFormatting sqref="O22:O25">
    <cfRule type="expression" dxfId="507" priority="15">
      <formula>$D22=0</formula>
    </cfRule>
  </conditionalFormatting>
  <conditionalFormatting sqref="O36:O39">
    <cfRule type="expression" dxfId="506" priority="14">
      <formula>$D36=0</formula>
    </cfRule>
  </conditionalFormatting>
  <conditionalFormatting sqref="H11:H12">
    <cfRule type="expression" dxfId="505" priority="13">
      <formula>$D11=0</formula>
    </cfRule>
  </conditionalFormatting>
  <conditionalFormatting sqref="I10:I12">
    <cfRule type="expression" dxfId="504" priority="12">
      <formula>$D10=0</formula>
    </cfRule>
  </conditionalFormatting>
  <conditionalFormatting sqref="C50:D54 L54:O54">
    <cfRule type="expression" dxfId="503" priority="11">
      <formula>$D50=0</formula>
    </cfRule>
  </conditionalFormatting>
  <conditionalFormatting sqref="N50:N53">
    <cfRule type="expression" dxfId="502" priority="10">
      <formula>$D50=0</formula>
    </cfRule>
  </conditionalFormatting>
  <conditionalFormatting sqref="C54">
    <cfRule type="expression" dxfId="501" priority="9">
      <formula>$D54=0</formula>
    </cfRule>
  </conditionalFormatting>
  <conditionalFormatting sqref="D54">
    <cfRule type="expression" dxfId="500" priority="8">
      <formula>$D54=0</formula>
    </cfRule>
  </conditionalFormatting>
  <conditionalFormatting sqref="L51:L53">
    <cfRule type="expression" dxfId="499" priority="6">
      <formula>$D51=0</formula>
    </cfRule>
  </conditionalFormatting>
  <conditionalFormatting sqref="M51">
    <cfRule type="expression" dxfId="498" priority="3">
      <formula>$D51=0</formula>
    </cfRule>
  </conditionalFormatting>
  <conditionalFormatting sqref="L50:M50">
    <cfRule type="expression" dxfId="497" priority="7">
      <formula>$D50=0</formula>
    </cfRule>
  </conditionalFormatting>
  <conditionalFormatting sqref="M52">
    <cfRule type="expression" dxfId="496" priority="5">
      <formula>$D52=0</formula>
    </cfRule>
  </conditionalFormatting>
  <conditionalFormatting sqref="M53">
    <cfRule type="expression" dxfId="495" priority="4">
      <formula>$D53=0</formula>
    </cfRule>
  </conditionalFormatting>
  <conditionalFormatting sqref="O50:O53">
    <cfRule type="expression" dxfId="494" priority="2">
      <formula>$D50=0</formula>
    </cfRule>
  </conditionalFormatting>
  <conditionalFormatting sqref="E50:K54">
    <cfRule type="expression" dxfId="493" priority="1">
      <formula>$D50=0</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N155"/>
  <sheetViews>
    <sheetView zoomScale="40" zoomScaleNormal="40" workbookViewId="0">
      <pane ySplit="1" topLeftCell="A2" activePane="bottomLeft" state="frozen"/>
      <selection activeCell="O235" sqref="O235"/>
      <selection pane="bottomLeft" activeCell="D8" sqref="D8"/>
    </sheetView>
  </sheetViews>
  <sheetFormatPr defaultColWidth="9.453125" defaultRowHeight="14.5" outlineLevelRow="2" x14ac:dyDescent="0.35"/>
  <cols>
    <col min="1" max="1" width="3.453125" style="481" customWidth="1"/>
    <col min="2" max="2" width="5.453125" style="481" customWidth="1"/>
    <col min="3" max="3" width="18.90625" style="485" customWidth="1"/>
    <col min="4" max="4" width="60.54296875" style="485" customWidth="1"/>
    <col min="5" max="6" width="20" style="485" customWidth="1"/>
    <col min="7" max="11" width="20" style="523" customWidth="1"/>
    <col min="12" max="13" width="28" style="523" customWidth="1"/>
    <col min="14" max="14" width="20" style="523" customWidth="1"/>
    <col min="15" max="15" width="33.453125" style="485" customWidth="1"/>
    <col min="16" max="16" width="53.54296875" style="485" customWidth="1"/>
    <col min="17" max="17" width="27" style="485" customWidth="1"/>
    <col min="18" max="16384" width="9.453125" style="485"/>
  </cols>
  <sheetData>
    <row r="1" spans="1:24" s="479" customFormat="1" ht="37.5" customHeight="1" thickBot="1" x14ac:dyDescent="0.55000000000000004">
      <c r="A1" s="477"/>
      <c r="B1" s="477"/>
      <c r="C1" s="477" t="s">
        <v>676</v>
      </c>
      <c r="D1" s="478" t="s">
        <v>790</v>
      </c>
      <c r="G1" s="480"/>
      <c r="H1" s="480"/>
      <c r="I1" s="480"/>
      <c r="J1" s="480"/>
      <c r="K1" s="480"/>
      <c r="L1" s="480"/>
      <c r="M1" s="480"/>
      <c r="N1" s="480"/>
      <c r="R1" s="479">
        <f>IF(SUM(R2:R158)&gt;0,1,0)</f>
        <v>1</v>
      </c>
      <c r="S1" s="479">
        <f t="shared" ref="S1:X1" si="0">IF(SUM(S2:S158)&gt;0,1,0)</f>
        <v>1</v>
      </c>
      <c r="T1" s="479">
        <f t="shared" si="0"/>
        <v>0</v>
      </c>
      <c r="U1" s="479">
        <f t="shared" si="0"/>
        <v>1</v>
      </c>
      <c r="V1" s="479">
        <f t="shared" si="0"/>
        <v>0</v>
      </c>
      <c r="W1" s="479">
        <f t="shared" si="0"/>
        <v>1</v>
      </c>
      <c r="X1" s="479">
        <f t="shared" si="0"/>
        <v>1</v>
      </c>
    </row>
    <row r="2" spans="1:24" s="481" customFormat="1" ht="26.25" customHeight="1" thickTop="1" thickBot="1" x14ac:dyDescent="0.4"/>
    <row r="3" spans="1:24" ht="17.25" customHeight="1" thickBot="1" x14ac:dyDescent="0.4">
      <c r="C3" s="483" t="s">
        <v>677</v>
      </c>
      <c r="D3" s="484" t="s">
        <v>678</v>
      </c>
      <c r="E3" s="481"/>
      <c r="F3" s="481"/>
      <c r="G3" s="482"/>
      <c r="H3" s="482"/>
      <c r="I3" s="482"/>
      <c r="J3" s="482"/>
      <c r="K3" s="482"/>
      <c r="L3" s="482"/>
      <c r="M3" s="482"/>
      <c r="N3" s="482"/>
      <c r="O3" s="481"/>
      <c r="P3" s="481"/>
    </row>
    <row r="4" spans="1:24" s="492" customFormat="1" ht="36.75" customHeight="1" thickBot="1" x14ac:dyDescent="0.7">
      <c r="A4" s="481"/>
      <c r="B4" s="486" t="s">
        <v>679</v>
      </c>
      <c r="C4" s="487" t="s">
        <v>346</v>
      </c>
      <c r="D4" s="514" t="str">
        <f>VLOOKUP(C4,overview_of_services!$B$2:$I$88,3,FALSE)</f>
        <v>Amount of on-site renewable energy generation</v>
      </c>
      <c r="E4" s="489"/>
      <c r="F4" s="490" t="s">
        <v>680</v>
      </c>
      <c r="G4" s="578" t="str">
        <f>VLOOKUP(C4,overview_of_services!$B$2:$I$88,2,FALSE)</f>
        <v>DER - Generation Control</v>
      </c>
      <c r="H4" s="578"/>
      <c r="I4" s="490"/>
      <c r="J4" s="491"/>
      <c r="K4" s="491"/>
      <c r="L4" s="491"/>
      <c r="M4" s="491"/>
      <c r="N4" s="491"/>
      <c r="R4" s="492" t="s">
        <v>681</v>
      </c>
      <c r="S4" s="492">
        <f>ROW()</f>
        <v>4</v>
      </c>
    </row>
    <row r="5" spans="1:24" ht="5.25" customHeight="1" x14ac:dyDescent="0.35">
      <c r="C5" s="493"/>
      <c r="D5" s="493"/>
      <c r="E5" s="493"/>
      <c r="F5" s="493"/>
      <c r="G5" s="493"/>
      <c r="H5" s="493"/>
      <c r="I5" s="493"/>
      <c r="J5" s="493"/>
      <c r="K5" s="493"/>
      <c r="L5" s="493"/>
      <c r="M5" s="493"/>
      <c r="N5" s="493"/>
      <c r="O5" s="493"/>
      <c r="P5" s="481"/>
    </row>
    <row r="6" spans="1:24" ht="20.25" customHeight="1" outlineLevel="1" x14ac:dyDescent="0.35">
      <c r="C6" s="575" t="s">
        <v>682</v>
      </c>
      <c r="D6" s="575"/>
      <c r="E6" s="577" t="s">
        <v>683</v>
      </c>
      <c r="F6" s="577"/>
      <c r="G6" s="577"/>
      <c r="H6" s="577"/>
      <c r="I6" s="577"/>
      <c r="J6" s="577"/>
      <c r="K6" s="577"/>
      <c r="L6" s="573" t="s">
        <v>684</v>
      </c>
      <c r="M6" s="574"/>
      <c r="N6" s="569" t="s">
        <v>685</v>
      </c>
      <c r="O6" s="571" t="s">
        <v>686</v>
      </c>
      <c r="P6" s="481"/>
    </row>
    <row r="7" spans="1:24" ht="36.75" customHeight="1" outlineLevel="1" thickBot="1" x14ac:dyDescent="0.4">
      <c r="C7" s="576"/>
      <c r="D7" s="576"/>
      <c r="E7" s="495" t="s">
        <v>687</v>
      </c>
      <c r="F7" s="495" t="s">
        <v>688</v>
      </c>
      <c r="G7" s="495" t="s">
        <v>689</v>
      </c>
      <c r="H7" s="495" t="s">
        <v>690</v>
      </c>
      <c r="I7" s="495" t="s">
        <v>616</v>
      </c>
      <c r="J7" s="495" t="s">
        <v>691</v>
      </c>
      <c r="K7" s="495" t="s">
        <v>692</v>
      </c>
      <c r="L7" s="496" t="s">
        <v>693</v>
      </c>
      <c r="M7" s="496" t="s">
        <v>694</v>
      </c>
      <c r="N7" s="570"/>
      <c r="O7" s="572"/>
      <c r="P7" s="481"/>
    </row>
    <row r="8" spans="1:24" s="503" customFormat="1" ht="35.25" customHeight="1" outlineLevel="1" thickTop="1" x14ac:dyDescent="0.5">
      <c r="A8" s="481"/>
      <c r="B8" s="481"/>
      <c r="C8" s="497" t="s">
        <v>695</v>
      </c>
      <c r="D8" s="498" t="str">
        <f>VLOOKUP(C4,overview_of_services!$B$2:$I$88,4,FALSE)</f>
        <v>None</v>
      </c>
      <c r="E8" s="499">
        <v>0</v>
      </c>
      <c r="F8" s="499">
        <v>0</v>
      </c>
      <c r="G8" s="499">
        <v>0</v>
      </c>
      <c r="H8" s="499">
        <v>0</v>
      </c>
      <c r="I8" s="499">
        <v>0</v>
      </c>
      <c r="J8" s="499">
        <v>0</v>
      </c>
      <c r="K8" s="499">
        <v>0</v>
      </c>
      <c r="L8" s="500" t="s">
        <v>696</v>
      </c>
      <c r="M8" s="500" t="s">
        <v>696</v>
      </c>
      <c r="N8" s="501">
        <v>0</v>
      </c>
      <c r="O8" s="529" t="s">
        <v>721</v>
      </c>
      <c r="P8" s="504"/>
      <c r="R8" s="504">
        <f t="shared" ref="R8:S12" si="1">IF(E8=0,0,(IF(E8="+",1,(IF(E8="++",2,(IF(E8="+++",3,(IF(E8="++++",4,(IF(E8="-",-1,(IF(E8="--",-2,(IF(E8="---",-3,(IF(E8="----",-4,"NA")))))))))))))))))</f>
        <v>0</v>
      </c>
      <c r="S8" s="504">
        <f t="shared" si="1"/>
        <v>0</v>
      </c>
      <c r="T8" s="504">
        <f t="shared" ref="T8:X12" si="2">IF(G8=0,0,(IF(G8="+",1,(IF(G8="++",2,(IF(G8="+++",3,(IF(G8="++++",4,(IF(G8="-",-1,(IF(G8="--",-2,(IF(G8="---",-3,(IF(G8="----",-4,"NA")))))))))))))))))</f>
        <v>0</v>
      </c>
      <c r="U8" s="504">
        <f t="shared" si="2"/>
        <v>0</v>
      </c>
      <c r="V8" s="504">
        <f t="shared" si="2"/>
        <v>0</v>
      </c>
      <c r="W8" s="504">
        <f t="shared" si="2"/>
        <v>0</v>
      </c>
      <c r="X8" s="504">
        <f t="shared" si="2"/>
        <v>0</v>
      </c>
    </row>
    <row r="9" spans="1:24" s="503" customFormat="1" ht="35.25" customHeight="1" outlineLevel="1" x14ac:dyDescent="0.5">
      <c r="A9" s="481"/>
      <c r="B9" s="481"/>
      <c r="C9" s="505" t="s">
        <v>699</v>
      </c>
      <c r="D9" s="506" t="str">
        <f>VLOOKUP(C4,overview_of_services!$B$2:$I$88,5,FALSE)</f>
        <v xml:space="preserve">Limited amount of PV or CHP production </v>
      </c>
      <c r="E9" s="499">
        <v>0</v>
      </c>
      <c r="F9" s="499" t="s">
        <v>700</v>
      </c>
      <c r="G9" s="499">
        <v>0</v>
      </c>
      <c r="H9" s="499">
        <v>0</v>
      </c>
      <c r="I9" s="499">
        <v>0</v>
      </c>
      <c r="J9" s="499">
        <v>0</v>
      </c>
      <c r="K9" s="499">
        <v>0</v>
      </c>
      <c r="L9" s="530" t="s">
        <v>700</v>
      </c>
      <c r="M9" s="530" t="s">
        <v>704</v>
      </c>
      <c r="N9" s="531" t="s">
        <v>791</v>
      </c>
      <c r="O9" s="532" t="s">
        <v>721</v>
      </c>
      <c r="P9" s="504"/>
      <c r="R9" s="504">
        <f t="shared" si="1"/>
        <v>0</v>
      </c>
      <c r="S9" s="504">
        <f t="shared" si="1"/>
        <v>1</v>
      </c>
      <c r="T9" s="504">
        <f t="shared" si="2"/>
        <v>0</v>
      </c>
      <c r="U9" s="504">
        <f t="shared" si="2"/>
        <v>0</v>
      </c>
      <c r="V9" s="504">
        <f t="shared" si="2"/>
        <v>0</v>
      </c>
      <c r="W9" s="504">
        <f t="shared" si="2"/>
        <v>0</v>
      </c>
      <c r="X9" s="504">
        <f t="shared" si="2"/>
        <v>0</v>
      </c>
    </row>
    <row r="10" spans="1:24" s="503" customFormat="1" ht="35.25" customHeight="1" outlineLevel="1" x14ac:dyDescent="0.5">
      <c r="A10" s="481"/>
      <c r="B10" s="481"/>
      <c r="C10" s="505" t="s">
        <v>703</v>
      </c>
      <c r="D10" s="506" t="str">
        <f>VLOOKUP(C4,overview_of_services!$B$2:$I$88,6,FALSE)</f>
        <v>PV or CHP capacity able to cover average needs</v>
      </c>
      <c r="E10" s="499">
        <v>0</v>
      </c>
      <c r="F10" s="499" t="s">
        <v>704</v>
      </c>
      <c r="G10" s="499">
        <v>0</v>
      </c>
      <c r="H10" s="499">
        <v>0</v>
      </c>
      <c r="I10" s="499">
        <v>0</v>
      </c>
      <c r="J10" s="499">
        <v>0</v>
      </c>
      <c r="K10" s="499">
        <v>0</v>
      </c>
      <c r="L10" s="530" t="s">
        <v>700</v>
      </c>
      <c r="M10" s="530" t="s">
        <v>697</v>
      </c>
      <c r="N10" s="531" t="s">
        <v>791</v>
      </c>
      <c r="O10" s="532" t="s">
        <v>721</v>
      </c>
      <c r="P10" s="504"/>
      <c r="R10" s="504">
        <f t="shared" si="1"/>
        <v>0</v>
      </c>
      <c r="S10" s="504">
        <f t="shared" si="1"/>
        <v>2</v>
      </c>
      <c r="T10" s="504">
        <f t="shared" si="2"/>
        <v>0</v>
      </c>
      <c r="U10" s="504">
        <f t="shared" si="2"/>
        <v>0</v>
      </c>
      <c r="V10" s="504">
        <f t="shared" si="2"/>
        <v>0</v>
      </c>
      <c r="W10" s="504">
        <f t="shared" si="2"/>
        <v>0</v>
      </c>
      <c r="X10" s="504">
        <f t="shared" si="2"/>
        <v>0</v>
      </c>
    </row>
    <row r="11" spans="1:24" s="503" customFormat="1" ht="35.25" customHeight="1" outlineLevel="1" x14ac:dyDescent="0.5">
      <c r="A11" s="481"/>
      <c r="B11" s="481"/>
      <c r="C11" s="505" t="s">
        <v>706</v>
      </c>
      <c r="D11" s="506">
        <f>VLOOKUP(C4,overview_of_services!$B$2:$I$88,7,FALSE)</f>
        <v>0</v>
      </c>
      <c r="E11" s="499"/>
      <c r="F11" s="499"/>
      <c r="G11" s="499"/>
      <c r="H11" s="499"/>
      <c r="I11" s="499"/>
      <c r="J11" s="499"/>
      <c r="K11" s="499"/>
      <c r="L11" s="500" t="s">
        <v>721</v>
      </c>
      <c r="M11" s="500" t="s">
        <v>721</v>
      </c>
      <c r="N11" s="501" t="s">
        <v>721</v>
      </c>
      <c r="O11" s="529" t="s">
        <v>721</v>
      </c>
      <c r="P11" s="504"/>
      <c r="R11" s="504">
        <f t="shared" si="1"/>
        <v>0</v>
      </c>
      <c r="S11" s="504">
        <f t="shared" si="1"/>
        <v>0</v>
      </c>
      <c r="T11" s="504">
        <f t="shared" si="2"/>
        <v>0</v>
      </c>
      <c r="U11" s="504">
        <f t="shared" si="2"/>
        <v>0</v>
      </c>
      <c r="V11" s="504">
        <f t="shared" si="2"/>
        <v>0</v>
      </c>
      <c r="W11" s="504">
        <f t="shared" si="2"/>
        <v>0</v>
      </c>
      <c r="X11" s="504">
        <f t="shared" si="2"/>
        <v>0</v>
      </c>
    </row>
    <row r="12" spans="1:24" s="503" customFormat="1" ht="35.25" customHeight="1" outlineLevel="1" x14ac:dyDescent="0.5">
      <c r="A12" s="481"/>
      <c r="B12" s="481"/>
      <c r="C12" s="505" t="s">
        <v>710</v>
      </c>
      <c r="D12" s="506">
        <f>VLOOKUP(C4,overview_of_services!$B$2:$I$88,8,FALSE)</f>
        <v>0</v>
      </c>
      <c r="E12" s="499"/>
      <c r="F12" s="499"/>
      <c r="G12" s="499"/>
      <c r="H12" s="499"/>
      <c r="I12" s="499"/>
      <c r="J12" s="499"/>
      <c r="K12" s="499"/>
      <c r="L12" s="500" t="s">
        <v>721</v>
      </c>
      <c r="M12" s="500" t="s">
        <v>721</v>
      </c>
      <c r="N12" s="501" t="s">
        <v>721</v>
      </c>
      <c r="O12" s="529" t="s">
        <v>721</v>
      </c>
      <c r="P12" s="504"/>
      <c r="R12" s="504">
        <f t="shared" si="1"/>
        <v>0</v>
      </c>
      <c r="S12" s="504">
        <f t="shared" si="1"/>
        <v>0</v>
      </c>
      <c r="T12" s="504">
        <f t="shared" si="2"/>
        <v>0</v>
      </c>
      <c r="U12" s="504">
        <f t="shared" si="2"/>
        <v>0</v>
      </c>
      <c r="V12" s="504">
        <f t="shared" si="2"/>
        <v>0</v>
      </c>
      <c r="W12" s="504">
        <f t="shared" si="2"/>
        <v>0</v>
      </c>
      <c r="X12" s="504">
        <f t="shared" si="2"/>
        <v>0</v>
      </c>
    </row>
    <row r="13" spans="1:24" s="503" customFormat="1" ht="6" customHeight="1" outlineLevel="2" thickBot="1" x14ac:dyDescent="0.4">
      <c r="A13" s="481"/>
      <c r="B13" s="481"/>
      <c r="C13" s="504"/>
      <c r="D13" s="504"/>
      <c r="E13" s="508"/>
      <c r="F13" s="508"/>
      <c r="G13" s="508"/>
      <c r="H13" s="508"/>
      <c r="I13" s="508"/>
      <c r="J13" s="508"/>
      <c r="K13" s="508"/>
      <c r="L13" s="504"/>
      <c r="M13" s="504"/>
      <c r="N13" s="504"/>
      <c r="O13" s="504"/>
      <c r="P13" s="504"/>
    </row>
    <row r="14" spans="1:24" s="503" customFormat="1" ht="30.75" customHeight="1" outlineLevel="2" thickBot="1" x14ac:dyDescent="0.4">
      <c r="A14" s="481"/>
      <c r="B14" s="481"/>
      <c r="C14" s="509"/>
      <c r="D14" s="509" t="s">
        <v>712</v>
      </c>
      <c r="E14" s="511" t="s">
        <v>729</v>
      </c>
      <c r="F14" s="511" t="s">
        <v>729</v>
      </c>
      <c r="G14" s="511" t="s">
        <v>729</v>
      </c>
      <c r="H14" s="511" t="s">
        <v>729</v>
      </c>
      <c r="I14" s="511" t="s">
        <v>729</v>
      </c>
      <c r="J14" s="511" t="s">
        <v>729</v>
      </c>
      <c r="K14" s="511" t="s">
        <v>729</v>
      </c>
      <c r="L14" s="511" t="s">
        <v>729</v>
      </c>
      <c r="M14" s="511" t="s">
        <v>729</v>
      </c>
      <c r="N14" s="513"/>
      <c r="O14" s="513"/>
      <c r="P14" s="504"/>
    </row>
    <row r="15" spans="1:24" s="503" customFormat="1" ht="30.75" customHeight="1" outlineLevel="2" thickBot="1" x14ac:dyDescent="0.4">
      <c r="A15" s="481"/>
      <c r="B15" s="481"/>
      <c r="C15" s="509"/>
      <c r="D15" s="509" t="s">
        <v>714</v>
      </c>
      <c r="E15" s="510"/>
      <c r="F15" s="512"/>
      <c r="G15" s="511"/>
      <c r="H15" s="511"/>
      <c r="I15" s="511"/>
      <c r="J15" s="511"/>
      <c r="K15" s="511"/>
      <c r="L15" s="517"/>
      <c r="M15" s="518"/>
      <c r="N15" s="513"/>
      <c r="O15" s="513"/>
      <c r="P15" s="504"/>
    </row>
    <row r="16" spans="1:24" ht="20.25" customHeight="1" outlineLevel="1" thickBot="1" x14ac:dyDescent="0.4">
      <c r="C16" s="481"/>
      <c r="D16" s="481"/>
      <c r="E16" s="481"/>
      <c r="F16" s="481"/>
      <c r="G16" s="482"/>
      <c r="H16" s="482"/>
      <c r="I16" s="482"/>
      <c r="J16" s="482"/>
      <c r="K16" s="482"/>
      <c r="L16" s="482"/>
      <c r="M16" s="482"/>
      <c r="N16" s="482"/>
      <c r="O16" s="481"/>
      <c r="P16" s="481"/>
    </row>
    <row r="17" spans="1:24" ht="17.25" customHeight="1" thickBot="1" x14ac:dyDescent="0.4">
      <c r="C17" s="483" t="s">
        <v>677</v>
      </c>
      <c r="D17" s="484" t="s">
        <v>678</v>
      </c>
      <c r="E17" s="481"/>
      <c r="F17" s="481"/>
      <c r="G17" s="482"/>
      <c r="H17" s="482"/>
      <c r="I17" s="482"/>
      <c r="J17" s="482"/>
      <c r="K17" s="482"/>
      <c r="L17" s="482"/>
      <c r="M17" s="482"/>
      <c r="N17" s="482"/>
      <c r="O17" s="481"/>
      <c r="P17" s="481"/>
    </row>
    <row r="18" spans="1:24" s="492" customFormat="1" ht="36.75" customHeight="1" thickBot="1" x14ac:dyDescent="0.7">
      <c r="A18" s="481"/>
      <c r="B18" s="486" t="s">
        <v>679</v>
      </c>
      <c r="C18" s="487" t="s">
        <v>351</v>
      </c>
      <c r="D18" s="514" t="s">
        <v>792</v>
      </c>
      <c r="E18" s="489"/>
      <c r="F18" s="490" t="s">
        <v>680</v>
      </c>
      <c r="G18" s="578" t="str">
        <f>VLOOKUP(C18,overview_of_services!$B$2:$I$88,2,FALSE)</f>
        <v xml:space="preserve">Feedback - Reporting information </v>
      </c>
      <c r="H18" s="578"/>
      <c r="I18" s="490"/>
      <c r="J18" s="491"/>
      <c r="K18" s="491"/>
      <c r="L18" s="491"/>
      <c r="M18" s="491"/>
      <c r="N18" s="491"/>
      <c r="R18" s="492" t="s">
        <v>681</v>
      </c>
      <c r="S18" s="492">
        <f>ROW()</f>
        <v>18</v>
      </c>
    </row>
    <row r="19" spans="1:24" ht="5.25" customHeight="1" x14ac:dyDescent="0.35">
      <c r="C19" s="493"/>
      <c r="D19" s="493"/>
      <c r="E19" s="493"/>
      <c r="F19" s="493"/>
      <c r="G19" s="493"/>
      <c r="H19" s="493"/>
      <c r="I19" s="493"/>
      <c r="J19" s="493"/>
      <c r="K19" s="493"/>
      <c r="L19" s="493"/>
      <c r="M19" s="493"/>
      <c r="N19" s="493"/>
      <c r="O19" s="493"/>
      <c r="P19" s="481"/>
    </row>
    <row r="20" spans="1:24" ht="20.25" customHeight="1" outlineLevel="1" x14ac:dyDescent="0.35">
      <c r="C20" s="575" t="s">
        <v>682</v>
      </c>
      <c r="D20" s="575"/>
      <c r="E20" s="577" t="s">
        <v>683</v>
      </c>
      <c r="F20" s="577"/>
      <c r="G20" s="577"/>
      <c r="H20" s="577"/>
      <c r="I20" s="577"/>
      <c r="J20" s="577"/>
      <c r="K20" s="577"/>
      <c r="L20" s="573" t="s">
        <v>684</v>
      </c>
      <c r="M20" s="574"/>
      <c r="N20" s="569" t="s">
        <v>685</v>
      </c>
      <c r="O20" s="571" t="s">
        <v>686</v>
      </c>
      <c r="P20" s="481"/>
    </row>
    <row r="21" spans="1:24" ht="36.75" customHeight="1" outlineLevel="1" thickBot="1" x14ac:dyDescent="0.4">
      <c r="C21" s="576"/>
      <c r="D21" s="576"/>
      <c r="E21" s="495" t="s">
        <v>687</v>
      </c>
      <c r="F21" s="495" t="s">
        <v>688</v>
      </c>
      <c r="G21" s="495" t="s">
        <v>689</v>
      </c>
      <c r="H21" s="495" t="s">
        <v>690</v>
      </c>
      <c r="I21" s="495" t="s">
        <v>616</v>
      </c>
      <c r="J21" s="495" t="s">
        <v>691</v>
      </c>
      <c r="K21" s="495" t="s">
        <v>692</v>
      </c>
      <c r="L21" s="496" t="s">
        <v>693</v>
      </c>
      <c r="M21" s="496" t="s">
        <v>694</v>
      </c>
      <c r="N21" s="570"/>
      <c r="O21" s="572"/>
      <c r="P21" s="481"/>
    </row>
    <row r="22" spans="1:24" s="503" customFormat="1" ht="35.25" customHeight="1" outlineLevel="1" thickTop="1" x14ac:dyDescent="0.5">
      <c r="A22" s="481"/>
      <c r="B22" s="481"/>
      <c r="C22" s="497" t="s">
        <v>695</v>
      </c>
      <c r="D22" s="498" t="str">
        <f>VLOOKUP(C18,overview_of_services!$B$2:$I$88,4,FALSE)</f>
        <v>None</v>
      </c>
      <c r="E22" s="499">
        <v>0</v>
      </c>
      <c r="F22" s="499">
        <v>0</v>
      </c>
      <c r="G22" s="499">
        <v>0</v>
      </c>
      <c r="H22" s="499">
        <v>0</v>
      </c>
      <c r="I22" s="499">
        <v>0</v>
      </c>
      <c r="J22" s="499">
        <v>0</v>
      </c>
      <c r="K22" s="499">
        <v>0</v>
      </c>
      <c r="L22" s="530" t="s">
        <v>696</v>
      </c>
      <c r="M22" s="530" t="s">
        <v>696</v>
      </c>
      <c r="N22" s="531">
        <v>0</v>
      </c>
      <c r="O22" s="532" t="s">
        <v>721</v>
      </c>
      <c r="P22" s="504"/>
      <c r="R22" s="504">
        <f t="shared" ref="R22:S26" si="3">IF(E22=0,0,(IF(E22="+",1,(IF(E22="++",2,(IF(E22="+++",3,(IF(E22="++++",4,(IF(E22="-",-1,(IF(E22="--",-2,(IF(E22="---",-3,(IF(E22="----",-4,"NA")))))))))))))))))</f>
        <v>0</v>
      </c>
      <c r="S22" s="504">
        <f t="shared" si="3"/>
        <v>0</v>
      </c>
      <c r="T22" s="504">
        <f t="shared" ref="T22:X26" si="4">IF(G22=0,0,(IF(G22="+",1,(IF(G22="++",2,(IF(G22="+++",3,(IF(G22="++++",4,(IF(G22="-",-1,(IF(G22="--",-2,(IF(G22="---",-3,(IF(G22="----",-4,"NA")))))))))))))))))</f>
        <v>0</v>
      </c>
      <c r="U22" s="504">
        <f t="shared" si="4"/>
        <v>0</v>
      </c>
      <c r="V22" s="504">
        <f t="shared" si="4"/>
        <v>0</v>
      </c>
      <c r="W22" s="504">
        <f t="shared" si="4"/>
        <v>0</v>
      </c>
      <c r="X22" s="504">
        <f t="shared" si="4"/>
        <v>0</v>
      </c>
    </row>
    <row r="23" spans="1:24" s="503" customFormat="1" ht="35.25" customHeight="1" outlineLevel="1" x14ac:dyDescent="0.5">
      <c r="A23" s="481"/>
      <c r="B23" s="481"/>
      <c r="C23" s="505" t="s">
        <v>699</v>
      </c>
      <c r="D23" s="506" t="str">
        <f>VLOOKUP(C18,overview_of_services!$B$2:$I$88,5,FALSE)</f>
        <v>Current generation data available</v>
      </c>
      <c r="E23" s="507" t="s">
        <v>700</v>
      </c>
      <c r="F23" s="499">
        <v>0</v>
      </c>
      <c r="G23" s="499">
        <v>0</v>
      </c>
      <c r="H23" s="499">
        <v>0</v>
      </c>
      <c r="I23" s="499">
        <v>0</v>
      </c>
      <c r="J23" s="507" t="s">
        <v>700</v>
      </c>
      <c r="K23" s="507" t="s">
        <v>700</v>
      </c>
      <c r="L23" s="530">
        <v>0</v>
      </c>
      <c r="M23" s="530" t="s">
        <v>704</v>
      </c>
      <c r="N23" s="531" t="s">
        <v>793</v>
      </c>
      <c r="O23" s="532" t="s">
        <v>721</v>
      </c>
      <c r="P23" s="504"/>
      <c r="R23" s="504">
        <f t="shared" si="3"/>
        <v>1</v>
      </c>
      <c r="S23" s="504">
        <f t="shared" si="3"/>
        <v>0</v>
      </c>
      <c r="T23" s="504">
        <f t="shared" si="4"/>
        <v>0</v>
      </c>
      <c r="U23" s="504">
        <f t="shared" si="4"/>
        <v>0</v>
      </c>
      <c r="V23" s="504">
        <f t="shared" si="4"/>
        <v>0</v>
      </c>
      <c r="W23" s="504">
        <f t="shared" si="4"/>
        <v>1</v>
      </c>
      <c r="X23" s="504">
        <f t="shared" si="4"/>
        <v>1</v>
      </c>
    </row>
    <row r="24" spans="1:24" s="503" customFormat="1" ht="35.25" customHeight="1" outlineLevel="1" x14ac:dyDescent="0.5">
      <c r="A24" s="481"/>
      <c r="B24" s="481"/>
      <c r="C24" s="505" t="s">
        <v>703</v>
      </c>
      <c r="D24" s="506" t="str">
        <f>VLOOKUP(C18,overview_of_services!$B$2:$I$88,6,FALSE)</f>
        <v>Actual values and historical data</v>
      </c>
      <c r="E24" s="499" t="s">
        <v>700</v>
      </c>
      <c r="F24" s="499">
        <v>0</v>
      </c>
      <c r="G24" s="499">
        <v>0</v>
      </c>
      <c r="H24" s="499">
        <v>0</v>
      </c>
      <c r="I24" s="499">
        <v>0</v>
      </c>
      <c r="J24" s="507" t="s">
        <v>700</v>
      </c>
      <c r="K24" s="507" t="s">
        <v>704</v>
      </c>
      <c r="L24" s="530" t="s">
        <v>700</v>
      </c>
      <c r="M24" s="530" t="s">
        <v>704</v>
      </c>
      <c r="N24" s="531" t="s">
        <v>791</v>
      </c>
      <c r="O24" s="532" t="s">
        <v>721</v>
      </c>
      <c r="P24" s="504"/>
      <c r="R24" s="504">
        <f t="shared" si="3"/>
        <v>1</v>
      </c>
      <c r="S24" s="504">
        <f t="shared" si="3"/>
        <v>0</v>
      </c>
      <c r="T24" s="504">
        <f t="shared" si="4"/>
        <v>0</v>
      </c>
      <c r="U24" s="504">
        <f t="shared" si="4"/>
        <v>0</v>
      </c>
      <c r="V24" s="504">
        <f t="shared" si="4"/>
        <v>0</v>
      </c>
      <c r="W24" s="504">
        <f t="shared" si="4"/>
        <v>1</v>
      </c>
      <c r="X24" s="504">
        <f t="shared" si="4"/>
        <v>2</v>
      </c>
    </row>
    <row r="25" spans="1:24" s="503" customFormat="1" ht="35.25" customHeight="1" outlineLevel="1" x14ac:dyDescent="0.5">
      <c r="A25" s="481"/>
      <c r="B25" s="481"/>
      <c r="C25" s="505" t="s">
        <v>706</v>
      </c>
      <c r="D25" s="506" t="str">
        <f>VLOOKUP(C18,overview_of_services!$B$2:$I$88,7,FALSE)</f>
        <v>Performance evaluation including forecasting and/or benchmarking</v>
      </c>
      <c r="E25" s="507" t="s">
        <v>700</v>
      </c>
      <c r="F25" s="499">
        <v>0</v>
      </c>
      <c r="G25" s="499">
        <v>0</v>
      </c>
      <c r="H25" s="499">
        <v>0</v>
      </c>
      <c r="I25" s="499">
        <v>0</v>
      </c>
      <c r="J25" s="507" t="s">
        <v>700</v>
      </c>
      <c r="K25" s="507" t="s">
        <v>707</v>
      </c>
      <c r="L25" s="530">
        <v>0</v>
      </c>
      <c r="M25" s="530" t="s">
        <v>704</v>
      </c>
      <c r="N25" s="531" t="s">
        <v>794</v>
      </c>
      <c r="O25" s="532" t="s">
        <v>721</v>
      </c>
      <c r="P25" s="504"/>
      <c r="R25" s="504">
        <f t="shared" si="3"/>
        <v>1</v>
      </c>
      <c r="S25" s="504">
        <f t="shared" si="3"/>
        <v>0</v>
      </c>
      <c r="T25" s="504">
        <f t="shared" si="4"/>
        <v>0</v>
      </c>
      <c r="U25" s="504">
        <f t="shared" si="4"/>
        <v>0</v>
      </c>
      <c r="V25" s="504">
        <f t="shared" si="4"/>
        <v>0</v>
      </c>
      <c r="W25" s="504">
        <f t="shared" si="4"/>
        <v>1</v>
      </c>
      <c r="X25" s="504">
        <f t="shared" si="4"/>
        <v>3</v>
      </c>
    </row>
    <row r="26" spans="1:24" s="503" customFormat="1" ht="29" outlineLevel="1" x14ac:dyDescent="0.5">
      <c r="A26" s="481"/>
      <c r="B26" s="481"/>
      <c r="C26" s="505" t="s">
        <v>710</v>
      </c>
      <c r="D26" s="506" t="str">
        <f>VLOOKUP(C18,overview_of_services!$B$2:$I$88,8,FALSE)</f>
        <v>Performance evaluation including forecasting and/or benchmarking; also including predictive management and fault detection</v>
      </c>
      <c r="E26" s="507" t="s">
        <v>700</v>
      </c>
      <c r="F26" s="499">
        <v>0</v>
      </c>
      <c r="G26" s="499">
        <v>0</v>
      </c>
      <c r="H26" s="499" t="s">
        <v>700</v>
      </c>
      <c r="I26" s="499">
        <v>0</v>
      </c>
      <c r="J26" s="507" t="s">
        <v>704</v>
      </c>
      <c r="K26" s="507" t="s">
        <v>707</v>
      </c>
      <c r="L26" s="500" t="s">
        <v>721</v>
      </c>
      <c r="M26" s="500" t="s">
        <v>721</v>
      </c>
      <c r="N26" s="501">
        <v>4</v>
      </c>
      <c r="O26" s="529" t="s">
        <v>721</v>
      </c>
      <c r="P26" s="504"/>
      <c r="R26" s="504">
        <f t="shared" si="3"/>
        <v>1</v>
      </c>
      <c r="S26" s="504">
        <f t="shared" si="3"/>
        <v>0</v>
      </c>
      <c r="T26" s="504">
        <f t="shared" si="4"/>
        <v>0</v>
      </c>
      <c r="U26" s="504">
        <f t="shared" si="4"/>
        <v>1</v>
      </c>
      <c r="V26" s="504">
        <f t="shared" si="4"/>
        <v>0</v>
      </c>
      <c r="W26" s="504">
        <f t="shared" si="4"/>
        <v>2</v>
      </c>
      <c r="X26" s="504">
        <f t="shared" si="4"/>
        <v>3</v>
      </c>
    </row>
    <row r="27" spans="1:24" s="503" customFormat="1" ht="6" customHeight="1" outlineLevel="2" thickBot="1" x14ac:dyDescent="0.4">
      <c r="A27" s="481"/>
      <c r="B27" s="481"/>
      <c r="C27" s="504"/>
      <c r="D27" s="504"/>
      <c r="E27" s="508"/>
      <c r="F27" s="508"/>
      <c r="G27" s="508"/>
      <c r="H27" s="508"/>
      <c r="I27" s="508"/>
      <c r="J27" s="508"/>
      <c r="K27" s="508"/>
      <c r="L27" s="504"/>
      <c r="M27" s="504"/>
      <c r="N27" s="504"/>
      <c r="O27" s="504"/>
      <c r="P27" s="504"/>
    </row>
    <row r="28" spans="1:24" s="503" customFormat="1" ht="30.75" customHeight="1" outlineLevel="2" thickBot="1" x14ac:dyDescent="0.4">
      <c r="A28" s="481"/>
      <c r="B28" s="481"/>
      <c r="C28" s="509"/>
      <c r="D28" s="509" t="s">
        <v>712</v>
      </c>
      <c r="E28" s="511" t="s">
        <v>729</v>
      </c>
      <c r="F28" s="511" t="s">
        <v>729</v>
      </c>
      <c r="G28" s="511" t="s">
        <v>729</v>
      </c>
      <c r="H28" s="511" t="s">
        <v>729</v>
      </c>
      <c r="I28" s="511" t="s">
        <v>729</v>
      </c>
      <c r="J28" s="511" t="s">
        <v>729</v>
      </c>
      <c r="K28" s="511" t="s">
        <v>729</v>
      </c>
      <c r="L28" s="517"/>
      <c r="M28" s="518"/>
      <c r="N28" s="513"/>
      <c r="O28" s="513"/>
      <c r="P28" s="504"/>
    </row>
    <row r="29" spans="1:24" s="503" customFormat="1" ht="30.75" customHeight="1" outlineLevel="2" thickBot="1" x14ac:dyDescent="0.4">
      <c r="A29" s="481"/>
      <c r="B29" s="481"/>
      <c r="C29" s="509"/>
      <c r="D29" s="509" t="s">
        <v>714</v>
      </c>
      <c r="E29" s="510" t="s">
        <v>795</v>
      </c>
      <c r="F29" s="510" t="s">
        <v>795</v>
      </c>
      <c r="G29" s="511"/>
      <c r="H29" s="511"/>
      <c r="I29" s="511"/>
      <c r="J29" s="511"/>
      <c r="K29" s="510"/>
      <c r="L29" s="517"/>
      <c r="M29" s="518"/>
      <c r="N29" s="513"/>
      <c r="O29" s="513"/>
      <c r="P29" s="504"/>
    </row>
    <row r="30" spans="1:24" ht="20.25" customHeight="1" outlineLevel="1" thickBot="1" x14ac:dyDescent="0.4">
      <c r="C30" s="481"/>
      <c r="D30" s="481"/>
      <c r="E30" s="481"/>
      <c r="F30" s="481"/>
      <c r="G30" s="482"/>
      <c r="H30" s="482"/>
      <c r="I30" s="482"/>
      <c r="J30" s="482"/>
      <c r="K30" s="482"/>
      <c r="L30" s="482"/>
      <c r="M30" s="482"/>
      <c r="N30" s="482"/>
      <c r="O30" s="481"/>
      <c r="P30" s="481"/>
    </row>
    <row r="31" spans="1:24" ht="17.25" customHeight="1" thickBot="1" x14ac:dyDescent="0.4">
      <c r="C31" s="483" t="s">
        <v>677</v>
      </c>
      <c r="D31" s="484" t="s">
        <v>678</v>
      </c>
      <c r="E31" s="481"/>
      <c r="F31" s="481"/>
      <c r="G31" s="482"/>
      <c r="H31" s="482"/>
      <c r="I31" s="482"/>
      <c r="J31" s="482"/>
      <c r="K31" s="482"/>
      <c r="L31" s="482"/>
      <c r="M31" s="482"/>
      <c r="N31" s="482"/>
      <c r="O31" s="481"/>
      <c r="P31" s="481"/>
    </row>
    <row r="32" spans="1:24" s="492" customFormat="1" ht="36.75" customHeight="1" thickBot="1" x14ac:dyDescent="0.7">
      <c r="A32" s="481"/>
      <c r="B32" s="486" t="s">
        <v>679</v>
      </c>
      <c r="C32" s="487" t="s">
        <v>355</v>
      </c>
      <c r="D32" s="514" t="s">
        <v>357</v>
      </c>
      <c r="E32" s="489"/>
      <c r="F32" s="490" t="s">
        <v>680</v>
      </c>
      <c r="G32" s="578" t="str">
        <f>VLOOKUP(C32,overview_of_services!$B$2:$I$88,2,FALSE)</f>
        <v>DER - Storage</v>
      </c>
      <c r="H32" s="578"/>
      <c r="I32" s="490"/>
      <c r="J32" s="491"/>
      <c r="K32" s="491"/>
      <c r="L32" s="491"/>
      <c r="M32" s="491"/>
      <c r="N32" s="491"/>
      <c r="R32" s="492" t="s">
        <v>681</v>
      </c>
      <c r="S32" s="492">
        <f>ROW()</f>
        <v>32</v>
      </c>
    </row>
    <row r="33" spans="1:24" ht="5.25" customHeight="1" x14ac:dyDescent="0.35">
      <c r="C33" s="493"/>
      <c r="D33" s="493"/>
      <c r="E33" s="493"/>
      <c r="F33" s="493"/>
      <c r="G33" s="493"/>
      <c r="H33" s="493"/>
      <c r="I33" s="493"/>
      <c r="J33" s="493"/>
      <c r="K33" s="493"/>
      <c r="L33" s="493"/>
      <c r="M33" s="493"/>
      <c r="N33" s="493"/>
      <c r="O33" s="493"/>
      <c r="P33" s="481"/>
    </row>
    <row r="34" spans="1:24" ht="20.25" customHeight="1" outlineLevel="1" x14ac:dyDescent="0.35">
      <c r="C34" s="575" t="s">
        <v>682</v>
      </c>
      <c r="D34" s="575"/>
      <c r="E34" s="577" t="s">
        <v>683</v>
      </c>
      <c r="F34" s="577"/>
      <c r="G34" s="577"/>
      <c r="H34" s="577"/>
      <c r="I34" s="577"/>
      <c r="J34" s="577"/>
      <c r="K34" s="577"/>
      <c r="L34" s="573" t="s">
        <v>684</v>
      </c>
      <c r="M34" s="574"/>
      <c r="N34" s="569" t="s">
        <v>685</v>
      </c>
      <c r="O34" s="571" t="s">
        <v>686</v>
      </c>
      <c r="P34" s="481"/>
    </row>
    <row r="35" spans="1:24" ht="36.75" customHeight="1" outlineLevel="1" thickBot="1" x14ac:dyDescent="0.4">
      <c r="C35" s="576"/>
      <c r="D35" s="576"/>
      <c r="E35" s="495" t="s">
        <v>687</v>
      </c>
      <c r="F35" s="495" t="s">
        <v>688</v>
      </c>
      <c r="G35" s="495" t="s">
        <v>689</v>
      </c>
      <c r="H35" s="495" t="s">
        <v>690</v>
      </c>
      <c r="I35" s="495" t="s">
        <v>616</v>
      </c>
      <c r="J35" s="495" t="s">
        <v>691</v>
      </c>
      <c r="K35" s="495" t="s">
        <v>692</v>
      </c>
      <c r="L35" s="496" t="s">
        <v>693</v>
      </c>
      <c r="M35" s="496" t="s">
        <v>694</v>
      </c>
      <c r="N35" s="570"/>
      <c r="O35" s="572"/>
      <c r="P35" s="481"/>
    </row>
    <row r="36" spans="1:24" s="503" customFormat="1" ht="35.25" customHeight="1" outlineLevel="1" thickTop="1" x14ac:dyDescent="0.5">
      <c r="A36" s="481"/>
      <c r="B36" s="481"/>
      <c r="C36" s="497" t="s">
        <v>695</v>
      </c>
      <c r="D36" s="498" t="str">
        <f>VLOOKUP(C32,overview_of_services!$B$2:$I$88,4,FALSE)</f>
        <v>None</v>
      </c>
      <c r="E36" s="499">
        <v>0</v>
      </c>
      <c r="F36" s="499">
        <v>0</v>
      </c>
      <c r="G36" s="499">
        <v>0</v>
      </c>
      <c r="H36" s="499">
        <v>0</v>
      </c>
      <c r="I36" s="499">
        <v>0</v>
      </c>
      <c r="J36" s="499">
        <v>0</v>
      </c>
      <c r="K36" s="499">
        <v>0</v>
      </c>
      <c r="L36" s="530" t="s">
        <v>696</v>
      </c>
      <c r="M36" s="530" t="s">
        <v>696</v>
      </c>
      <c r="N36" s="531">
        <v>0</v>
      </c>
      <c r="O36" s="532" t="s">
        <v>721</v>
      </c>
      <c r="P36" s="504"/>
      <c r="R36" s="504">
        <f t="shared" ref="R36:S40" si="5">IF(E36=0,0,(IF(E36="+",1,(IF(E36="++",2,(IF(E36="+++",3,(IF(E36="++++",4,(IF(E36="-",-1,(IF(E36="--",-2,(IF(E36="---",-3,(IF(E36="----",-4,"NA")))))))))))))))))</f>
        <v>0</v>
      </c>
      <c r="S36" s="504">
        <f t="shared" si="5"/>
        <v>0</v>
      </c>
      <c r="T36" s="504">
        <f t="shared" ref="T36:X40" si="6">IF(G36=0,0,(IF(G36="+",1,(IF(G36="++",2,(IF(G36="+++",3,(IF(G36="++++",4,(IF(G36="-",-1,(IF(G36="--",-2,(IF(G36="---",-3,(IF(G36="----",-4,"NA")))))))))))))))))</f>
        <v>0</v>
      </c>
      <c r="U36" s="504">
        <f t="shared" si="6"/>
        <v>0</v>
      </c>
      <c r="V36" s="504">
        <f t="shared" si="6"/>
        <v>0</v>
      </c>
      <c r="W36" s="504">
        <f t="shared" si="6"/>
        <v>0</v>
      </c>
      <c r="X36" s="504">
        <f t="shared" si="6"/>
        <v>0</v>
      </c>
    </row>
    <row r="37" spans="1:24" s="503" customFormat="1" ht="35.25" customHeight="1" outlineLevel="1" x14ac:dyDescent="0.5">
      <c r="A37" s="481"/>
      <c r="B37" s="481"/>
      <c r="C37" s="505" t="s">
        <v>699</v>
      </c>
      <c r="D37" s="506" t="str">
        <f>VLOOKUP(C32,overview_of_services!$B$2:$I$88,5,FALSE)</f>
        <v>Limited: small scale storage (batteries, TES,…)</v>
      </c>
      <c r="E37" s="499">
        <v>0</v>
      </c>
      <c r="F37" s="499" t="s">
        <v>700</v>
      </c>
      <c r="G37" s="499">
        <v>0</v>
      </c>
      <c r="H37" s="499" t="s">
        <v>700</v>
      </c>
      <c r="I37" s="499">
        <v>0</v>
      </c>
      <c r="J37" s="499">
        <v>0</v>
      </c>
      <c r="K37" s="499">
        <v>0</v>
      </c>
      <c r="L37" s="530" t="s">
        <v>700</v>
      </c>
      <c r="M37" s="530" t="s">
        <v>700</v>
      </c>
      <c r="N37" s="531" t="s">
        <v>793</v>
      </c>
      <c r="O37" s="532" t="s">
        <v>721</v>
      </c>
      <c r="P37" s="504"/>
      <c r="R37" s="504">
        <f t="shared" si="5"/>
        <v>0</v>
      </c>
      <c r="S37" s="504">
        <f t="shared" si="5"/>
        <v>1</v>
      </c>
      <c r="T37" s="504">
        <f t="shared" si="6"/>
        <v>0</v>
      </c>
      <c r="U37" s="504">
        <f t="shared" si="6"/>
        <v>1</v>
      </c>
      <c r="V37" s="504">
        <f t="shared" si="6"/>
        <v>0</v>
      </c>
      <c r="W37" s="504">
        <f t="shared" si="6"/>
        <v>0</v>
      </c>
      <c r="X37" s="504">
        <f t="shared" si="6"/>
        <v>0</v>
      </c>
    </row>
    <row r="38" spans="1:24" s="503" customFormat="1" ht="35.25" customHeight="1" outlineLevel="1" x14ac:dyDescent="0.5">
      <c r="A38" s="481"/>
      <c r="B38" s="481"/>
      <c r="C38" s="505" t="s">
        <v>703</v>
      </c>
      <c r="D38" s="506" t="str">
        <f>VLOOKUP(C32,overview_of_services!$B$2:$I$88,6,FALSE)</f>
        <v>Storage which can supply self-consumption for &gt; 3 hours</v>
      </c>
      <c r="E38" s="499">
        <v>0</v>
      </c>
      <c r="F38" s="499" t="s">
        <v>704</v>
      </c>
      <c r="G38" s="499">
        <v>0</v>
      </c>
      <c r="H38" s="499" t="s">
        <v>700</v>
      </c>
      <c r="I38" s="499">
        <v>0</v>
      </c>
      <c r="J38" s="499">
        <v>0</v>
      </c>
      <c r="K38" s="499">
        <v>0</v>
      </c>
      <c r="L38" s="530">
        <v>0</v>
      </c>
      <c r="M38" s="530" t="s">
        <v>700</v>
      </c>
      <c r="N38" s="531" t="s">
        <v>796</v>
      </c>
      <c r="O38" s="532" t="s">
        <v>721</v>
      </c>
      <c r="P38" s="504"/>
      <c r="R38" s="504">
        <f t="shared" si="5"/>
        <v>0</v>
      </c>
      <c r="S38" s="504">
        <f t="shared" si="5"/>
        <v>2</v>
      </c>
      <c r="T38" s="504">
        <f t="shared" si="6"/>
        <v>0</v>
      </c>
      <c r="U38" s="504">
        <f t="shared" si="6"/>
        <v>1</v>
      </c>
      <c r="V38" s="504">
        <f t="shared" si="6"/>
        <v>0</v>
      </c>
      <c r="W38" s="504">
        <f t="shared" si="6"/>
        <v>0</v>
      </c>
      <c r="X38" s="504">
        <f t="shared" si="6"/>
        <v>0</v>
      </c>
    </row>
    <row r="39" spans="1:24" s="503" customFormat="1" ht="35.25" customHeight="1" outlineLevel="1" x14ac:dyDescent="0.5">
      <c r="A39" s="481"/>
      <c r="B39" s="481"/>
      <c r="C39" s="505" t="s">
        <v>706</v>
      </c>
      <c r="D39" s="506" t="str">
        <f>VLOOKUP(C32,overview_of_services!$B$2:$I$88,7,FALSE)</f>
        <v>Dynamically operated storage which can also feed back into the grid.</v>
      </c>
      <c r="E39" s="499">
        <v>0</v>
      </c>
      <c r="F39" s="499" t="s">
        <v>707</v>
      </c>
      <c r="G39" s="499">
        <v>0</v>
      </c>
      <c r="H39" s="499" t="s">
        <v>704</v>
      </c>
      <c r="I39" s="499">
        <v>0</v>
      </c>
      <c r="J39" s="499">
        <v>0</v>
      </c>
      <c r="K39" s="499">
        <v>0</v>
      </c>
      <c r="L39" s="530" t="s">
        <v>797</v>
      </c>
      <c r="M39" s="530">
        <v>0</v>
      </c>
      <c r="N39" s="531" t="s">
        <v>798</v>
      </c>
      <c r="O39" s="532" t="s">
        <v>721</v>
      </c>
      <c r="P39" s="504"/>
      <c r="R39" s="504">
        <f t="shared" si="5"/>
        <v>0</v>
      </c>
      <c r="S39" s="504">
        <f t="shared" si="5"/>
        <v>3</v>
      </c>
      <c r="T39" s="504">
        <f t="shared" si="6"/>
        <v>0</v>
      </c>
      <c r="U39" s="504">
        <f t="shared" si="6"/>
        <v>2</v>
      </c>
      <c r="V39" s="504">
        <f t="shared" si="6"/>
        <v>0</v>
      </c>
      <c r="W39" s="504">
        <f t="shared" si="6"/>
        <v>0</v>
      </c>
      <c r="X39" s="504">
        <f t="shared" si="6"/>
        <v>0</v>
      </c>
    </row>
    <row r="40" spans="1:24" s="503" customFormat="1" ht="35.25" customHeight="1" outlineLevel="1" x14ac:dyDescent="0.5">
      <c r="A40" s="481"/>
      <c r="B40" s="481"/>
      <c r="C40" s="505" t="s">
        <v>710</v>
      </c>
      <c r="D40" s="506">
        <f>VLOOKUP(C32,overview_of_services!$B$2:$I$88,8,FALSE)</f>
        <v>0</v>
      </c>
      <c r="E40" s="507"/>
      <c r="F40" s="499"/>
      <c r="G40" s="507"/>
      <c r="H40" s="507"/>
      <c r="I40" s="499"/>
      <c r="J40" s="499"/>
      <c r="K40" s="499"/>
      <c r="L40" s="500" t="s">
        <v>721</v>
      </c>
      <c r="M40" s="500" t="s">
        <v>721</v>
      </c>
      <c r="N40" s="501" t="s">
        <v>721</v>
      </c>
      <c r="O40" s="529" t="s">
        <v>721</v>
      </c>
      <c r="P40" s="504"/>
      <c r="R40" s="504">
        <f t="shared" si="5"/>
        <v>0</v>
      </c>
      <c r="S40" s="504">
        <f t="shared" si="5"/>
        <v>0</v>
      </c>
      <c r="T40" s="504">
        <f t="shared" si="6"/>
        <v>0</v>
      </c>
      <c r="U40" s="504">
        <f t="shared" si="6"/>
        <v>0</v>
      </c>
      <c r="V40" s="504">
        <f t="shared" si="6"/>
        <v>0</v>
      </c>
      <c r="W40" s="504">
        <f t="shared" si="6"/>
        <v>0</v>
      </c>
      <c r="X40" s="504">
        <f t="shared" si="6"/>
        <v>0</v>
      </c>
    </row>
    <row r="41" spans="1:24" s="503" customFormat="1" ht="6" customHeight="1" outlineLevel="2" thickBot="1" x14ac:dyDescent="0.4">
      <c r="A41" s="481"/>
      <c r="B41" s="481"/>
      <c r="C41" s="504"/>
      <c r="D41" s="504"/>
      <c r="E41" s="508"/>
      <c r="F41" s="508"/>
      <c r="G41" s="508"/>
      <c r="H41" s="508"/>
      <c r="I41" s="508"/>
      <c r="J41" s="508"/>
      <c r="K41" s="508"/>
      <c r="L41" s="504"/>
      <c r="M41" s="504"/>
      <c r="N41" s="504"/>
      <c r="O41" s="504"/>
      <c r="P41" s="504"/>
    </row>
    <row r="42" spans="1:24" s="503" customFormat="1" ht="30.75" customHeight="1" outlineLevel="2" thickBot="1" x14ac:dyDescent="0.4">
      <c r="A42" s="481"/>
      <c r="B42" s="481"/>
      <c r="C42" s="509"/>
      <c r="D42" s="509" t="s">
        <v>712</v>
      </c>
      <c r="E42" s="511" t="s">
        <v>729</v>
      </c>
      <c r="F42" s="511" t="s">
        <v>729</v>
      </c>
      <c r="G42" s="511" t="s">
        <v>729</v>
      </c>
      <c r="H42" s="511" t="s">
        <v>729</v>
      </c>
      <c r="I42" s="511" t="s">
        <v>729</v>
      </c>
      <c r="J42" s="511" t="s">
        <v>729</v>
      </c>
      <c r="K42" s="511" t="s">
        <v>729</v>
      </c>
      <c r="L42" s="517"/>
      <c r="M42" s="518"/>
      <c r="N42" s="513"/>
      <c r="O42" s="513"/>
      <c r="P42" s="504"/>
    </row>
    <row r="43" spans="1:24" s="503" customFormat="1" ht="30.75" customHeight="1" outlineLevel="2" thickBot="1" x14ac:dyDescent="0.4">
      <c r="A43" s="481"/>
      <c r="B43" s="481"/>
      <c r="C43" s="509"/>
      <c r="D43" s="509" t="s">
        <v>714</v>
      </c>
      <c r="E43" s="510" t="s">
        <v>795</v>
      </c>
      <c r="F43" s="510" t="s">
        <v>795</v>
      </c>
      <c r="G43" s="511"/>
      <c r="H43" s="511"/>
      <c r="I43" s="511"/>
      <c r="J43" s="510" t="s">
        <v>795</v>
      </c>
      <c r="K43" s="511"/>
      <c r="L43" s="517"/>
      <c r="M43" s="518"/>
      <c r="N43" s="513"/>
      <c r="O43" s="513"/>
      <c r="P43" s="504"/>
    </row>
    <row r="44" spans="1:24" ht="20.25" customHeight="1" outlineLevel="1" thickBot="1" x14ac:dyDescent="0.4">
      <c r="C44" s="481"/>
      <c r="D44" s="481"/>
      <c r="E44" s="481"/>
      <c r="F44" s="481"/>
      <c r="G44" s="482"/>
      <c r="H44" s="482"/>
      <c r="I44" s="482"/>
      <c r="J44" s="482"/>
      <c r="K44" s="482"/>
      <c r="L44" s="482"/>
      <c r="M44" s="482"/>
      <c r="N44" s="482"/>
      <c r="O44" s="481"/>
      <c r="P44" s="481"/>
    </row>
    <row r="45" spans="1:24" ht="17.25" customHeight="1" thickBot="1" x14ac:dyDescent="0.4">
      <c r="C45" s="483" t="s">
        <v>677</v>
      </c>
      <c r="D45" s="484" t="s">
        <v>678</v>
      </c>
      <c r="E45" s="481"/>
      <c r="F45" s="481"/>
      <c r="G45" s="482"/>
      <c r="H45" s="482"/>
      <c r="I45" s="482"/>
      <c r="J45" s="482"/>
      <c r="K45" s="482"/>
      <c r="L45" s="482"/>
      <c r="M45" s="482"/>
      <c r="N45" s="482"/>
      <c r="O45" s="481"/>
      <c r="P45" s="481"/>
    </row>
    <row r="46" spans="1:24" s="492" customFormat="1" ht="36.75" customHeight="1" thickBot="1" x14ac:dyDescent="0.7">
      <c r="A46" s="481"/>
      <c r="B46" s="486" t="s">
        <v>679</v>
      </c>
      <c r="C46" s="487" t="s">
        <v>361</v>
      </c>
      <c r="D46" s="514" t="str">
        <f>VLOOKUP(C46,overview_of_services!$B$2:$I$88,3,FALSE)</f>
        <v>Optimizing self-consumption of locally generated energy</v>
      </c>
      <c r="E46" s="489"/>
      <c r="F46" s="490" t="s">
        <v>680</v>
      </c>
      <c r="G46" s="578" t="str">
        <f>VLOOKUP(C46,overview_of_services!$B$2:$I$88,2,FALSE)</f>
        <v>DER- Optimization</v>
      </c>
      <c r="H46" s="578"/>
      <c r="I46" s="490"/>
      <c r="J46" s="491"/>
      <c r="K46" s="491"/>
      <c r="L46" s="491"/>
      <c r="M46" s="491"/>
      <c r="N46" s="491"/>
      <c r="R46" s="492" t="s">
        <v>681</v>
      </c>
      <c r="S46" s="492">
        <f>ROW()</f>
        <v>46</v>
      </c>
    </row>
    <row r="47" spans="1:24" ht="5.25" customHeight="1" x14ac:dyDescent="0.35">
      <c r="C47" s="493"/>
      <c r="D47" s="493"/>
      <c r="E47" s="493"/>
      <c r="F47" s="493"/>
      <c r="G47" s="493"/>
      <c r="H47" s="493"/>
      <c r="I47" s="493"/>
      <c r="J47" s="493"/>
      <c r="K47" s="493"/>
      <c r="L47" s="493"/>
      <c r="M47" s="493"/>
      <c r="N47" s="493"/>
      <c r="O47" s="493"/>
      <c r="P47" s="481"/>
    </row>
    <row r="48" spans="1:24" ht="20.25" customHeight="1" outlineLevel="1" x14ac:dyDescent="0.35">
      <c r="C48" s="575" t="s">
        <v>682</v>
      </c>
      <c r="D48" s="575"/>
      <c r="E48" s="577" t="s">
        <v>683</v>
      </c>
      <c r="F48" s="577"/>
      <c r="G48" s="577"/>
      <c r="H48" s="577"/>
      <c r="I48" s="577"/>
      <c r="J48" s="577"/>
      <c r="K48" s="577"/>
      <c r="L48" s="573" t="s">
        <v>684</v>
      </c>
      <c r="M48" s="574"/>
      <c r="N48" s="569" t="s">
        <v>685</v>
      </c>
      <c r="O48" s="571" t="s">
        <v>686</v>
      </c>
      <c r="P48" s="481"/>
    </row>
    <row r="49" spans="1:24" ht="36.75" customHeight="1" outlineLevel="1" thickBot="1" x14ac:dyDescent="0.4">
      <c r="C49" s="576"/>
      <c r="D49" s="576"/>
      <c r="E49" s="495" t="s">
        <v>687</v>
      </c>
      <c r="F49" s="495" t="s">
        <v>688</v>
      </c>
      <c r="G49" s="495" t="s">
        <v>689</v>
      </c>
      <c r="H49" s="495" t="s">
        <v>690</v>
      </c>
      <c r="I49" s="495" t="s">
        <v>616</v>
      </c>
      <c r="J49" s="495" t="s">
        <v>691</v>
      </c>
      <c r="K49" s="495" t="s">
        <v>692</v>
      </c>
      <c r="L49" s="496" t="s">
        <v>693</v>
      </c>
      <c r="M49" s="496" t="s">
        <v>694</v>
      </c>
      <c r="N49" s="570"/>
      <c r="O49" s="572"/>
      <c r="P49" s="481"/>
    </row>
    <row r="50" spans="1:24" s="503" customFormat="1" ht="35.25" customHeight="1" outlineLevel="1" thickTop="1" x14ac:dyDescent="0.5">
      <c r="A50" s="481"/>
      <c r="B50" s="481"/>
      <c r="C50" s="497" t="s">
        <v>695</v>
      </c>
      <c r="D50" s="498" t="str">
        <f>VLOOKUP(C46,overview_of_services!$B$2:$I$88,4,FALSE)</f>
        <v>None</v>
      </c>
      <c r="E50" s="499">
        <v>0</v>
      </c>
      <c r="F50" s="499">
        <v>0</v>
      </c>
      <c r="G50" s="499">
        <v>0</v>
      </c>
      <c r="H50" s="499">
        <v>0</v>
      </c>
      <c r="I50" s="499">
        <v>0</v>
      </c>
      <c r="J50" s="499">
        <v>0</v>
      </c>
      <c r="K50" s="499">
        <v>0</v>
      </c>
      <c r="L50" s="530" t="s">
        <v>696</v>
      </c>
      <c r="M50" s="530" t="s">
        <v>696</v>
      </c>
      <c r="N50" s="531">
        <v>0</v>
      </c>
      <c r="O50" s="532" t="s">
        <v>721</v>
      </c>
      <c r="P50" s="504"/>
      <c r="R50" s="504">
        <f t="shared" ref="R50:S54" si="7">IF(E50=0,0,(IF(E50="+",1,(IF(E50="++",2,(IF(E50="+++",3,(IF(E50="++++",4,(IF(E50="-",-1,(IF(E50="--",-2,(IF(E50="---",-3,(IF(E50="----",-4,"NA")))))))))))))))))</f>
        <v>0</v>
      </c>
      <c r="S50" s="504">
        <f t="shared" si="7"/>
        <v>0</v>
      </c>
      <c r="T50" s="504">
        <f t="shared" ref="T50:X54" si="8">IF(G50=0,0,(IF(G50="+",1,(IF(G50="++",2,(IF(G50="+++",3,(IF(G50="++++",4,(IF(G50="-",-1,(IF(G50="--",-2,(IF(G50="---",-3,(IF(G50="----",-4,"NA")))))))))))))))))</f>
        <v>0</v>
      </c>
      <c r="U50" s="504">
        <f t="shared" si="8"/>
        <v>0</v>
      </c>
      <c r="V50" s="504">
        <f t="shared" si="8"/>
        <v>0</v>
      </c>
      <c r="W50" s="504">
        <f t="shared" si="8"/>
        <v>0</v>
      </c>
      <c r="X50" s="504">
        <f t="shared" si="8"/>
        <v>0</v>
      </c>
    </row>
    <row r="51" spans="1:24" s="503" customFormat="1" ht="35.25" customHeight="1" outlineLevel="1" x14ac:dyDescent="0.5">
      <c r="A51" s="481"/>
      <c r="B51" s="481"/>
      <c r="C51" s="505" t="s">
        <v>699</v>
      </c>
      <c r="D51" s="506" t="str">
        <f>VLOOKUP(C46,overview_of_services!$B$2:$I$88,5,FALSE)</f>
        <v>short term optimization</v>
      </c>
      <c r="E51" s="499">
        <v>0</v>
      </c>
      <c r="F51" s="499" t="s">
        <v>700</v>
      </c>
      <c r="G51" s="499">
        <v>0</v>
      </c>
      <c r="H51" s="499">
        <v>0</v>
      </c>
      <c r="I51" s="499">
        <v>0</v>
      </c>
      <c r="J51" s="499">
        <v>0</v>
      </c>
      <c r="K51" s="499">
        <v>0</v>
      </c>
      <c r="L51" s="530">
        <v>0</v>
      </c>
      <c r="M51" s="530" t="s">
        <v>700</v>
      </c>
      <c r="N51" s="531" t="s">
        <v>791</v>
      </c>
      <c r="O51" s="532" t="s">
        <v>721</v>
      </c>
      <c r="P51" s="504"/>
      <c r="R51" s="504">
        <f t="shared" si="7"/>
        <v>0</v>
      </c>
      <c r="S51" s="504">
        <f t="shared" si="7"/>
        <v>1</v>
      </c>
      <c r="T51" s="504">
        <f t="shared" si="8"/>
        <v>0</v>
      </c>
      <c r="U51" s="504">
        <f t="shared" si="8"/>
        <v>0</v>
      </c>
      <c r="V51" s="504">
        <f t="shared" si="8"/>
        <v>0</v>
      </c>
      <c r="W51" s="504">
        <f t="shared" si="8"/>
        <v>0</v>
      </c>
      <c r="X51" s="504">
        <f t="shared" si="8"/>
        <v>0</v>
      </c>
    </row>
    <row r="52" spans="1:24" s="503" customFormat="1" ht="35.25" customHeight="1" outlineLevel="1" x14ac:dyDescent="0.5">
      <c r="A52" s="481"/>
      <c r="B52" s="481"/>
      <c r="C52" s="505" t="s">
        <v>703</v>
      </c>
      <c r="D52" s="506" t="str">
        <f>VLOOKUP(C46,overview_of_services!$B$2:$I$88,6,FALSE)</f>
        <v>long term optimization including predicted generation and/or demand</v>
      </c>
      <c r="E52" s="499">
        <v>0</v>
      </c>
      <c r="F52" s="499" t="s">
        <v>707</v>
      </c>
      <c r="G52" s="499">
        <v>0</v>
      </c>
      <c r="H52" s="499">
        <v>0</v>
      </c>
      <c r="I52" s="499">
        <v>0</v>
      </c>
      <c r="J52" s="499" t="s">
        <v>704</v>
      </c>
      <c r="K52" s="499">
        <v>0</v>
      </c>
      <c r="L52" s="530" t="s">
        <v>797</v>
      </c>
      <c r="M52" s="530" t="s">
        <v>797</v>
      </c>
      <c r="N52" s="531" t="s">
        <v>791</v>
      </c>
      <c r="O52" s="532" t="s">
        <v>721</v>
      </c>
      <c r="P52" s="504"/>
      <c r="R52" s="504">
        <f t="shared" si="7"/>
        <v>0</v>
      </c>
      <c r="S52" s="504">
        <f t="shared" si="7"/>
        <v>3</v>
      </c>
      <c r="T52" s="504">
        <f t="shared" si="8"/>
        <v>0</v>
      </c>
      <c r="U52" s="504">
        <f t="shared" si="8"/>
        <v>0</v>
      </c>
      <c r="V52" s="504">
        <f t="shared" si="8"/>
        <v>0</v>
      </c>
      <c r="W52" s="504">
        <f t="shared" si="8"/>
        <v>2</v>
      </c>
      <c r="X52" s="504">
        <f t="shared" si="8"/>
        <v>0</v>
      </c>
    </row>
    <row r="53" spans="1:24" s="503" customFormat="1" ht="35.25" customHeight="1" outlineLevel="1" x14ac:dyDescent="0.5">
      <c r="A53" s="481"/>
      <c r="B53" s="481"/>
      <c r="C53" s="505" t="s">
        <v>706</v>
      </c>
      <c r="D53" s="506">
        <f>VLOOKUP(C46,overview_of_services!$B$2:$I$88,7,FALSE)</f>
        <v>0</v>
      </c>
      <c r="E53" s="499"/>
      <c r="F53" s="499"/>
      <c r="G53" s="499"/>
      <c r="H53" s="499"/>
      <c r="I53" s="499"/>
      <c r="J53" s="499"/>
      <c r="K53" s="499"/>
      <c r="L53" s="500" t="s">
        <v>721</v>
      </c>
      <c r="M53" s="500" t="s">
        <v>721</v>
      </c>
      <c r="N53" s="501" t="s">
        <v>721</v>
      </c>
      <c r="O53" s="529" t="s">
        <v>721</v>
      </c>
      <c r="P53" s="504"/>
      <c r="R53" s="504">
        <f t="shared" si="7"/>
        <v>0</v>
      </c>
      <c r="S53" s="504">
        <f t="shared" si="7"/>
        <v>0</v>
      </c>
      <c r="T53" s="504">
        <f t="shared" si="8"/>
        <v>0</v>
      </c>
      <c r="U53" s="504">
        <f t="shared" si="8"/>
        <v>0</v>
      </c>
      <c r="V53" s="504">
        <f t="shared" si="8"/>
        <v>0</v>
      </c>
      <c r="W53" s="504">
        <f t="shared" si="8"/>
        <v>0</v>
      </c>
      <c r="X53" s="504">
        <f t="shared" si="8"/>
        <v>0</v>
      </c>
    </row>
    <row r="54" spans="1:24" s="503" customFormat="1" ht="35.25" customHeight="1" outlineLevel="1" x14ac:dyDescent="0.5">
      <c r="A54" s="481"/>
      <c r="B54" s="481"/>
      <c r="C54" s="505" t="s">
        <v>710</v>
      </c>
      <c r="D54" s="506">
        <f>VLOOKUP(C46,overview_of_services!$B$2:$I$88,8,FALSE)</f>
        <v>0</v>
      </c>
      <c r="E54" s="507"/>
      <c r="F54" s="499"/>
      <c r="G54" s="507"/>
      <c r="H54" s="507"/>
      <c r="I54" s="499"/>
      <c r="J54" s="499"/>
      <c r="K54" s="499"/>
      <c r="L54" s="500" t="s">
        <v>721</v>
      </c>
      <c r="M54" s="500" t="s">
        <v>721</v>
      </c>
      <c r="N54" s="501" t="s">
        <v>721</v>
      </c>
      <c r="O54" s="529" t="s">
        <v>721</v>
      </c>
      <c r="P54" s="504"/>
      <c r="R54" s="504">
        <f t="shared" si="7"/>
        <v>0</v>
      </c>
      <c r="S54" s="504">
        <f t="shared" si="7"/>
        <v>0</v>
      </c>
      <c r="T54" s="504">
        <f t="shared" si="8"/>
        <v>0</v>
      </c>
      <c r="U54" s="504">
        <f t="shared" si="8"/>
        <v>0</v>
      </c>
      <c r="V54" s="504">
        <f t="shared" si="8"/>
        <v>0</v>
      </c>
      <c r="W54" s="504">
        <f t="shared" si="8"/>
        <v>0</v>
      </c>
      <c r="X54" s="504">
        <f t="shared" si="8"/>
        <v>0</v>
      </c>
    </row>
    <row r="55" spans="1:24" s="503" customFormat="1" ht="6" customHeight="1" outlineLevel="2" thickBot="1" x14ac:dyDescent="0.4">
      <c r="A55" s="481"/>
      <c r="B55" s="481"/>
      <c r="C55" s="504"/>
      <c r="D55" s="504"/>
      <c r="E55" s="508"/>
      <c r="F55" s="508"/>
      <c r="G55" s="508"/>
      <c r="H55" s="508"/>
      <c r="I55" s="508"/>
      <c r="J55" s="508"/>
      <c r="K55" s="508"/>
      <c r="L55" s="504"/>
      <c r="M55" s="504"/>
      <c r="N55" s="504"/>
      <c r="O55" s="504"/>
      <c r="P55" s="504"/>
    </row>
    <row r="56" spans="1:24" s="503" customFormat="1" ht="30.75" customHeight="1" outlineLevel="2" thickBot="1" x14ac:dyDescent="0.4">
      <c r="A56" s="481"/>
      <c r="B56" s="481"/>
      <c r="C56" s="509"/>
      <c r="D56" s="509" t="s">
        <v>712</v>
      </c>
      <c r="E56" s="510"/>
      <c r="F56" s="512"/>
      <c r="G56" s="511"/>
      <c r="H56" s="511"/>
      <c r="I56" s="511"/>
      <c r="J56" s="511"/>
      <c r="K56" s="511"/>
      <c r="L56" s="517"/>
      <c r="M56" s="518"/>
      <c r="N56" s="513"/>
      <c r="O56" s="513"/>
      <c r="P56" s="504"/>
    </row>
    <row r="57" spans="1:24" s="503" customFormat="1" ht="30.75" customHeight="1" outlineLevel="2" thickBot="1" x14ac:dyDescent="0.4">
      <c r="A57" s="481"/>
      <c r="B57" s="481"/>
      <c r="C57" s="509"/>
      <c r="D57" s="509" t="s">
        <v>714</v>
      </c>
      <c r="E57" s="510"/>
      <c r="F57" s="512"/>
      <c r="G57" s="511"/>
      <c r="H57" s="511"/>
      <c r="I57" s="511"/>
      <c r="J57" s="511"/>
      <c r="K57" s="511"/>
      <c r="L57" s="517"/>
      <c r="M57" s="518"/>
      <c r="N57" s="513"/>
      <c r="O57" s="513"/>
      <c r="P57" s="504"/>
    </row>
    <row r="58" spans="1:24" ht="20.25" customHeight="1" outlineLevel="1" thickBot="1" x14ac:dyDescent="0.4">
      <c r="C58" s="481"/>
      <c r="D58" s="481"/>
      <c r="E58" s="481"/>
      <c r="F58" s="481"/>
      <c r="G58" s="482"/>
      <c r="H58" s="482"/>
      <c r="I58" s="482"/>
      <c r="J58" s="482"/>
      <c r="K58" s="482"/>
      <c r="L58" s="482"/>
      <c r="M58" s="482"/>
      <c r="N58" s="482"/>
      <c r="O58" s="481"/>
      <c r="P58" s="481"/>
    </row>
    <row r="59" spans="1:24" ht="17.25" customHeight="1" thickBot="1" x14ac:dyDescent="0.4">
      <c r="C59" s="483" t="s">
        <v>677</v>
      </c>
      <c r="D59" s="484" t="s">
        <v>678</v>
      </c>
      <c r="E59" s="481"/>
      <c r="F59" s="481"/>
      <c r="G59" s="482"/>
      <c r="H59" s="482"/>
      <c r="I59" s="482"/>
      <c r="J59" s="482"/>
      <c r="K59" s="482"/>
      <c r="L59" s="482"/>
      <c r="M59" s="482"/>
      <c r="N59" s="482"/>
      <c r="O59" s="481"/>
      <c r="P59" s="481"/>
    </row>
    <row r="60" spans="1:24" s="492" customFormat="1" ht="36.75" customHeight="1" thickBot="1" x14ac:dyDescent="0.7">
      <c r="A60" s="481"/>
      <c r="B60" s="486" t="s">
        <v>679</v>
      </c>
      <c r="C60" s="487" t="s">
        <v>366</v>
      </c>
      <c r="D60" s="514" t="str">
        <f>VLOOKUP(C60,overview_of_services!$B$2:$I$88,3,FALSE)</f>
        <v>CHP control</v>
      </c>
      <c r="E60" s="489"/>
      <c r="F60" s="490" t="s">
        <v>680</v>
      </c>
      <c r="G60" s="578" t="str">
        <f>VLOOKUP(C60,overview_of_services!$B$2:$I$88,2,FALSE)</f>
        <v>DER - Generation Control</v>
      </c>
      <c r="H60" s="578"/>
      <c r="I60" s="490"/>
      <c r="J60" s="491"/>
      <c r="K60" s="491"/>
      <c r="L60" s="491"/>
      <c r="M60" s="491"/>
      <c r="N60" s="491"/>
      <c r="R60" s="492" t="s">
        <v>681</v>
      </c>
      <c r="S60" s="492">
        <f>ROW()</f>
        <v>60</v>
      </c>
    </row>
    <row r="61" spans="1:24" ht="5.25" customHeight="1" x14ac:dyDescent="0.35">
      <c r="C61" s="493"/>
      <c r="D61" s="493"/>
      <c r="E61" s="493"/>
      <c r="F61" s="493"/>
      <c r="G61" s="493"/>
      <c r="H61" s="493"/>
      <c r="I61" s="493"/>
      <c r="J61" s="493"/>
      <c r="K61" s="493"/>
      <c r="L61" s="493"/>
      <c r="M61" s="493"/>
      <c r="N61" s="493"/>
      <c r="O61" s="493"/>
      <c r="P61" s="481"/>
    </row>
    <row r="62" spans="1:24" ht="20.25" customHeight="1" outlineLevel="1" x14ac:dyDescent="0.35">
      <c r="C62" s="575" t="s">
        <v>682</v>
      </c>
      <c r="D62" s="575"/>
      <c r="E62" s="577" t="s">
        <v>683</v>
      </c>
      <c r="F62" s="577"/>
      <c r="G62" s="577"/>
      <c r="H62" s="577"/>
      <c r="I62" s="577"/>
      <c r="J62" s="577"/>
      <c r="K62" s="577"/>
      <c r="L62" s="573" t="s">
        <v>684</v>
      </c>
      <c r="M62" s="574"/>
      <c r="N62" s="569" t="s">
        <v>685</v>
      </c>
      <c r="O62" s="571" t="s">
        <v>686</v>
      </c>
      <c r="P62" s="481"/>
    </row>
    <row r="63" spans="1:24" ht="36.75" customHeight="1" outlineLevel="1" thickBot="1" x14ac:dyDescent="0.4">
      <c r="C63" s="576"/>
      <c r="D63" s="576"/>
      <c r="E63" s="495" t="s">
        <v>687</v>
      </c>
      <c r="F63" s="495" t="s">
        <v>688</v>
      </c>
      <c r="G63" s="495" t="s">
        <v>689</v>
      </c>
      <c r="H63" s="495" t="s">
        <v>690</v>
      </c>
      <c r="I63" s="495" t="s">
        <v>616</v>
      </c>
      <c r="J63" s="495" t="s">
        <v>691</v>
      </c>
      <c r="K63" s="495" t="s">
        <v>692</v>
      </c>
      <c r="L63" s="496" t="s">
        <v>693</v>
      </c>
      <c r="M63" s="496" t="s">
        <v>694</v>
      </c>
      <c r="N63" s="570"/>
      <c r="O63" s="572"/>
      <c r="P63" s="481"/>
    </row>
    <row r="64" spans="1:24" s="503" customFormat="1" ht="29.5" outlineLevel="1" thickTop="1" x14ac:dyDescent="0.5">
      <c r="A64" s="481"/>
      <c r="B64" s="481"/>
      <c r="C64" s="497" t="s">
        <v>695</v>
      </c>
      <c r="D64" s="498" t="str">
        <f>VLOOKUP(C60,overview_of_services!$B$2:$I$88,4,FALSE)</f>
        <v>Uncontrolled generation depending on the fluctuating availability of RES and or run time of CHP; overproduction will be fed into the grid</v>
      </c>
      <c r="E64" s="499">
        <v>0</v>
      </c>
      <c r="F64" s="499">
        <v>0</v>
      </c>
      <c r="G64" s="499">
        <v>0</v>
      </c>
      <c r="H64" s="499">
        <v>0</v>
      </c>
      <c r="I64" s="499">
        <v>0</v>
      </c>
      <c r="J64" s="499">
        <v>0</v>
      </c>
      <c r="K64" s="499">
        <v>0</v>
      </c>
      <c r="L64" s="530" t="s">
        <v>696</v>
      </c>
      <c r="M64" s="530" t="s">
        <v>696</v>
      </c>
      <c r="N64" s="531">
        <v>0</v>
      </c>
      <c r="O64" s="532" t="s">
        <v>721</v>
      </c>
      <c r="P64" s="504"/>
      <c r="R64" s="504">
        <f t="shared" ref="R64:S68" si="9">IF(E64=0,0,(IF(E64="+",1,(IF(E64="++",2,(IF(E64="+++",3,(IF(E64="++++",4,(IF(E64="-",-1,(IF(E64="--",-2,(IF(E64="---",-3,(IF(E64="----",-4,"NA")))))))))))))))))</f>
        <v>0</v>
      </c>
      <c r="S64" s="504">
        <f t="shared" si="9"/>
        <v>0</v>
      </c>
      <c r="T64" s="504">
        <f t="shared" ref="T64:X68" si="10">IF(G64=0,0,(IF(G64="+",1,(IF(G64="++",2,(IF(G64="+++",3,(IF(G64="++++",4,(IF(G64="-",-1,(IF(G64="--",-2,(IF(G64="---",-3,(IF(G64="----",-4,"NA")))))))))))))))))</f>
        <v>0</v>
      </c>
      <c r="U64" s="504">
        <f t="shared" si="10"/>
        <v>0</v>
      </c>
      <c r="V64" s="504">
        <f t="shared" si="10"/>
        <v>0</v>
      </c>
      <c r="W64" s="504">
        <f t="shared" si="10"/>
        <v>0</v>
      </c>
      <c r="X64" s="504">
        <f t="shared" si="10"/>
        <v>0</v>
      </c>
    </row>
    <row r="65" spans="1:24" s="503" customFormat="1" ht="43.5" outlineLevel="1" x14ac:dyDescent="0.5">
      <c r="A65" s="481"/>
      <c r="B65" s="481"/>
      <c r="C65" s="505" t="s">
        <v>699</v>
      </c>
      <c r="D65" s="506" t="str">
        <f>VLOOKUP(C60,overview_of_services!$B$2:$I$88,5,FALSE)</f>
        <v>Coordination of local RES and CHP with regard to local energy demand profile including energy storage management; Optimization of own consumption</v>
      </c>
      <c r="E65" s="499">
        <v>0</v>
      </c>
      <c r="F65" s="499" t="s">
        <v>704</v>
      </c>
      <c r="G65" s="499">
        <v>0</v>
      </c>
      <c r="H65" s="499">
        <v>0</v>
      </c>
      <c r="I65" s="499">
        <v>0</v>
      </c>
      <c r="J65" s="499">
        <v>0</v>
      </c>
      <c r="K65" s="499">
        <v>0</v>
      </c>
      <c r="L65" s="530">
        <v>0</v>
      </c>
      <c r="M65" s="530" t="s">
        <v>700</v>
      </c>
      <c r="N65" s="531" t="s">
        <v>791</v>
      </c>
      <c r="O65" s="532" t="s">
        <v>721</v>
      </c>
      <c r="P65" s="504"/>
      <c r="R65" s="504">
        <f t="shared" si="9"/>
        <v>0</v>
      </c>
      <c r="S65" s="504">
        <f t="shared" si="9"/>
        <v>2</v>
      </c>
      <c r="T65" s="504">
        <f t="shared" si="10"/>
        <v>0</v>
      </c>
      <c r="U65" s="504">
        <f t="shared" si="10"/>
        <v>0</v>
      </c>
      <c r="V65" s="504">
        <f t="shared" si="10"/>
        <v>0</v>
      </c>
      <c r="W65" s="504">
        <f t="shared" si="10"/>
        <v>0</v>
      </c>
      <c r="X65" s="504">
        <f t="shared" si="10"/>
        <v>0</v>
      </c>
    </row>
    <row r="66" spans="1:24" s="503" customFormat="1" ht="35.25" customHeight="1" outlineLevel="1" x14ac:dyDescent="0.5">
      <c r="A66" s="481"/>
      <c r="B66" s="481"/>
      <c r="C66" s="505" t="s">
        <v>703</v>
      </c>
      <c r="D66" s="506">
        <f>VLOOKUP(C60,overview_of_services!$B$2:$I$88,6,FALSE)</f>
        <v>0</v>
      </c>
      <c r="E66" s="499"/>
      <c r="F66" s="499"/>
      <c r="G66" s="499"/>
      <c r="H66" s="499"/>
      <c r="I66" s="499"/>
      <c r="J66" s="499"/>
      <c r="K66" s="499"/>
      <c r="L66" s="530" t="s">
        <v>797</v>
      </c>
      <c r="M66" s="530" t="s">
        <v>797</v>
      </c>
      <c r="N66" s="531" t="s">
        <v>791</v>
      </c>
      <c r="O66" s="532" t="s">
        <v>721</v>
      </c>
      <c r="P66" s="504"/>
      <c r="R66" s="504">
        <f t="shared" si="9"/>
        <v>0</v>
      </c>
      <c r="S66" s="504">
        <f t="shared" si="9"/>
        <v>0</v>
      </c>
      <c r="T66" s="504">
        <f t="shared" si="10"/>
        <v>0</v>
      </c>
      <c r="U66" s="504">
        <f t="shared" si="10"/>
        <v>0</v>
      </c>
      <c r="V66" s="504">
        <f t="shared" si="10"/>
        <v>0</v>
      </c>
      <c r="W66" s="504">
        <f t="shared" si="10"/>
        <v>0</v>
      </c>
      <c r="X66" s="504">
        <f t="shared" si="10"/>
        <v>0</v>
      </c>
    </row>
    <row r="67" spans="1:24" s="503" customFormat="1" ht="35.25" customHeight="1" outlineLevel="1" x14ac:dyDescent="0.5">
      <c r="A67" s="481"/>
      <c r="B67" s="481"/>
      <c r="C67" s="505" t="s">
        <v>706</v>
      </c>
      <c r="D67" s="506">
        <f>VLOOKUP(C60,overview_of_services!$B$2:$I$88,7,FALSE)</f>
        <v>0</v>
      </c>
      <c r="E67" s="499"/>
      <c r="F67" s="499"/>
      <c r="G67" s="499"/>
      <c r="H67" s="499"/>
      <c r="I67" s="499"/>
      <c r="J67" s="499"/>
      <c r="K67" s="499"/>
      <c r="L67" s="500" t="s">
        <v>721</v>
      </c>
      <c r="M67" s="500" t="s">
        <v>721</v>
      </c>
      <c r="N67" s="501" t="s">
        <v>721</v>
      </c>
      <c r="O67" s="529" t="s">
        <v>721</v>
      </c>
      <c r="P67" s="504"/>
      <c r="R67" s="504">
        <f t="shared" si="9"/>
        <v>0</v>
      </c>
      <c r="S67" s="504">
        <f t="shared" si="9"/>
        <v>0</v>
      </c>
      <c r="T67" s="504">
        <f t="shared" si="10"/>
        <v>0</v>
      </c>
      <c r="U67" s="504">
        <f t="shared" si="10"/>
        <v>0</v>
      </c>
      <c r="V67" s="504">
        <f t="shared" si="10"/>
        <v>0</v>
      </c>
      <c r="W67" s="504">
        <f t="shared" si="10"/>
        <v>0</v>
      </c>
      <c r="X67" s="504">
        <f t="shared" si="10"/>
        <v>0</v>
      </c>
    </row>
    <row r="68" spans="1:24" s="503" customFormat="1" ht="35.25" customHeight="1" outlineLevel="1" x14ac:dyDescent="0.5">
      <c r="A68" s="481"/>
      <c r="B68" s="481"/>
      <c r="C68" s="505" t="s">
        <v>710</v>
      </c>
      <c r="D68" s="506">
        <f>VLOOKUP(C60,overview_of_services!$B$2:$I$88,8,FALSE)</f>
        <v>0</v>
      </c>
      <c r="E68" s="507"/>
      <c r="F68" s="499"/>
      <c r="G68" s="507"/>
      <c r="H68" s="507"/>
      <c r="I68" s="499"/>
      <c r="J68" s="499"/>
      <c r="K68" s="499"/>
      <c r="L68" s="500" t="s">
        <v>721</v>
      </c>
      <c r="M68" s="500" t="s">
        <v>721</v>
      </c>
      <c r="N68" s="501" t="s">
        <v>721</v>
      </c>
      <c r="O68" s="529" t="s">
        <v>721</v>
      </c>
      <c r="P68" s="504"/>
      <c r="R68" s="504">
        <f t="shared" si="9"/>
        <v>0</v>
      </c>
      <c r="S68" s="504">
        <f t="shared" si="9"/>
        <v>0</v>
      </c>
      <c r="T68" s="504">
        <f t="shared" si="10"/>
        <v>0</v>
      </c>
      <c r="U68" s="504">
        <f t="shared" si="10"/>
        <v>0</v>
      </c>
      <c r="V68" s="504">
        <f t="shared" si="10"/>
        <v>0</v>
      </c>
      <c r="W68" s="504">
        <f t="shared" si="10"/>
        <v>0</v>
      </c>
      <c r="X68" s="504">
        <f t="shared" si="10"/>
        <v>0</v>
      </c>
    </row>
    <row r="69" spans="1:24" s="503" customFormat="1" ht="6" customHeight="1" outlineLevel="2" thickBot="1" x14ac:dyDescent="0.4">
      <c r="A69" s="481"/>
      <c r="B69" s="481"/>
      <c r="C69" s="504"/>
      <c r="D69" s="504"/>
      <c r="E69" s="508"/>
      <c r="F69" s="508"/>
      <c r="G69" s="508"/>
      <c r="H69" s="508"/>
      <c r="I69" s="508"/>
      <c r="J69" s="508"/>
      <c r="K69" s="508"/>
      <c r="L69" s="504"/>
      <c r="M69" s="504"/>
      <c r="N69" s="504"/>
      <c r="O69" s="504"/>
      <c r="P69" s="504"/>
    </row>
    <row r="70" spans="1:24" s="503" customFormat="1" ht="30.75" customHeight="1" outlineLevel="2" thickBot="1" x14ac:dyDescent="0.4">
      <c r="A70" s="481"/>
      <c r="B70" s="481"/>
      <c r="C70" s="509"/>
      <c r="D70" s="509" t="s">
        <v>712</v>
      </c>
      <c r="E70" s="510"/>
      <c r="F70" s="512"/>
      <c r="G70" s="511"/>
      <c r="H70" s="511"/>
      <c r="I70" s="511"/>
      <c r="J70" s="511"/>
      <c r="K70" s="511"/>
      <c r="L70" s="517"/>
      <c r="M70" s="518"/>
      <c r="N70" s="513"/>
      <c r="O70" s="513"/>
      <c r="P70" s="504"/>
    </row>
    <row r="71" spans="1:24" s="503" customFormat="1" ht="30.75" customHeight="1" outlineLevel="2" thickBot="1" x14ac:dyDescent="0.4">
      <c r="A71" s="481"/>
      <c r="B71" s="481"/>
      <c r="C71" s="509"/>
      <c r="D71" s="509" t="s">
        <v>714</v>
      </c>
      <c r="E71" s="510"/>
      <c r="F71" s="512"/>
      <c r="G71" s="511"/>
      <c r="H71" s="511"/>
      <c r="I71" s="511"/>
      <c r="J71" s="511"/>
      <c r="K71" s="511"/>
      <c r="L71" s="517"/>
      <c r="M71" s="518"/>
      <c r="N71" s="513"/>
      <c r="O71" s="513"/>
      <c r="P71" s="504"/>
    </row>
    <row r="72" spans="1:24" ht="15" thickBot="1" x14ac:dyDescent="0.4">
      <c r="C72" s="481"/>
      <c r="D72" s="481"/>
      <c r="E72" s="481"/>
      <c r="F72" s="481"/>
      <c r="G72" s="482"/>
      <c r="H72" s="482"/>
      <c r="I72" s="482"/>
      <c r="J72" s="482"/>
      <c r="K72" s="482"/>
      <c r="L72" s="482"/>
      <c r="M72" s="482"/>
      <c r="N72" s="482"/>
      <c r="O72" s="481"/>
    </row>
    <row r="73" spans="1:24" ht="15" thickBot="1" x14ac:dyDescent="0.4">
      <c r="C73" s="483" t="s">
        <v>677</v>
      </c>
      <c r="D73" s="484" t="s">
        <v>678</v>
      </c>
      <c r="E73" s="481"/>
      <c r="F73" s="481"/>
      <c r="G73" s="482"/>
      <c r="H73" s="482"/>
      <c r="I73" s="482"/>
      <c r="J73" s="482"/>
      <c r="K73" s="482"/>
      <c r="L73" s="482"/>
      <c r="M73" s="482"/>
      <c r="N73" s="482"/>
      <c r="O73" s="481"/>
    </row>
    <row r="74" spans="1:24" ht="31.5" thickBot="1" x14ac:dyDescent="0.4">
      <c r="C74" s="487" t="s">
        <v>372</v>
      </c>
      <c r="D74" s="514" t="str">
        <f>VLOOKUP(C74,overview_of_services!$B$2:$I$88,3,FALSE)</f>
        <v>Services for integration of renewables into the building energy portfolio</v>
      </c>
      <c r="E74" s="489"/>
      <c r="F74" s="490" t="s">
        <v>680</v>
      </c>
      <c r="G74" s="578" t="str">
        <f>VLOOKUP(C74,overview_of_services!$B$2:$I$88,2,FALSE)</f>
        <v>DSM- Storage</v>
      </c>
      <c r="H74" s="578"/>
      <c r="I74" s="490"/>
      <c r="J74" s="491"/>
      <c r="K74" s="491"/>
      <c r="L74" s="491"/>
      <c r="M74" s="491"/>
      <c r="N74" s="491"/>
      <c r="O74" s="492"/>
    </row>
    <row r="75" spans="1:24" x14ac:dyDescent="0.35">
      <c r="C75" s="493"/>
      <c r="D75" s="493"/>
      <c r="E75" s="493"/>
      <c r="F75" s="493"/>
      <c r="G75" s="493"/>
      <c r="H75" s="493"/>
      <c r="I75" s="493"/>
      <c r="J75" s="493"/>
      <c r="K75" s="493"/>
      <c r="L75" s="493"/>
      <c r="M75" s="493"/>
      <c r="N75" s="493"/>
      <c r="O75" s="493"/>
    </row>
    <row r="76" spans="1:24" x14ac:dyDescent="0.35">
      <c r="C76" s="575" t="s">
        <v>682</v>
      </c>
      <c r="D76" s="575"/>
      <c r="E76" s="577" t="s">
        <v>683</v>
      </c>
      <c r="F76" s="577"/>
      <c r="G76" s="577"/>
      <c r="H76" s="577"/>
      <c r="I76" s="577"/>
      <c r="J76" s="577"/>
      <c r="K76" s="577"/>
      <c r="L76" s="573" t="s">
        <v>684</v>
      </c>
      <c r="M76" s="574"/>
      <c r="N76" s="569" t="s">
        <v>685</v>
      </c>
      <c r="O76" s="571" t="s">
        <v>686</v>
      </c>
    </row>
    <row r="77" spans="1:24" ht="29.5" thickBot="1" x14ac:dyDescent="0.4">
      <c r="C77" s="576"/>
      <c r="D77" s="576"/>
      <c r="E77" s="495" t="s">
        <v>687</v>
      </c>
      <c r="F77" s="495" t="s">
        <v>688</v>
      </c>
      <c r="G77" s="495" t="s">
        <v>689</v>
      </c>
      <c r="H77" s="495" t="s">
        <v>690</v>
      </c>
      <c r="I77" s="495" t="s">
        <v>616</v>
      </c>
      <c r="J77" s="495" t="s">
        <v>691</v>
      </c>
      <c r="K77" s="495" t="s">
        <v>692</v>
      </c>
      <c r="L77" s="496" t="s">
        <v>693</v>
      </c>
      <c r="M77" s="496" t="s">
        <v>694</v>
      </c>
      <c r="N77" s="570"/>
      <c r="O77" s="572"/>
    </row>
    <row r="78" spans="1:24" ht="21.5" thickTop="1" x14ac:dyDescent="0.5">
      <c r="C78" s="497" t="s">
        <v>695</v>
      </c>
      <c r="D78" s="498" t="str">
        <f>VLOOKUP(C74,overview_of_services!$B$2:$I$88,4,FALSE)</f>
        <v>None</v>
      </c>
      <c r="E78" s="499">
        <v>0</v>
      </c>
      <c r="F78" s="499">
        <v>0</v>
      </c>
      <c r="G78" s="499">
        <v>0</v>
      </c>
      <c r="H78" s="499">
        <v>0</v>
      </c>
      <c r="I78" s="499">
        <v>0</v>
      </c>
      <c r="J78" s="499">
        <v>0</v>
      </c>
      <c r="K78" s="499">
        <v>0</v>
      </c>
      <c r="L78" s="530" t="s">
        <v>696</v>
      </c>
      <c r="M78" s="530" t="s">
        <v>696</v>
      </c>
      <c r="N78" s="531">
        <v>0</v>
      </c>
      <c r="O78" s="532" t="s">
        <v>721</v>
      </c>
    </row>
    <row r="79" spans="1:24" ht="21" x14ac:dyDescent="0.5">
      <c r="C79" s="505" t="s">
        <v>699</v>
      </c>
      <c r="D79" s="506" t="str">
        <f>VLOOKUP(C74,overview_of_services!$B$2:$I$88,5,FALSE)</f>
        <v>local control</v>
      </c>
      <c r="E79" s="499" t="s">
        <v>700</v>
      </c>
      <c r="F79" s="499" t="s">
        <v>700</v>
      </c>
      <c r="G79" s="499" t="s">
        <v>799</v>
      </c>
      <c r="H79" s="499">
        <v>0</v>
      </c>
      <c r="I79" s="499" t="s">
        <v>799</v>
      </c>
      <c r="J79" s="499" t="s">
        <v>799</v>
      </c>
      <c r="K79" s="499" t="s">
        <v>799</v>
      </c>
      <c r="L79" s="530" t="s">
        <v>700</v>
      </c>
      <c r="M79" s="530" t="s">
        <v>700</v>
      </c>
      <c r="N79" s="531" t="s">
        <v>796</v>
      </c>
      <c r="O79" s="532" t="s">
        <v>721</v>
      </c>
    </row>
    <row r="80" spans="1:24" ht="21" x14ac:dyDescent="0.5">
      <c r="C80" s="505" t="s">
        <v>703</v>
      </c>
      <c r="D80" s="506" t="str">
        <f>VLOOKUP(C74,overview_of_services!$B$2:$I$88,6,FALSE)</f>
        <v>local optimization based on pricing</v>
      </c>
      <c r="E80" s="499" t="s">
        <v>700</v>
      </c>
      <c r="F80" s="499" t="s">
        <v>700</v>
      </c>
      <c r="G80" s="499" t="s">
        <v>799</v>
      </c>
      <c r="H80" s="499">
        <v>0</v>
      </c>
      <c r="I80" s="499" t="s">
        <v>799</v>
      </c>
      <c r="J80" s="499" t="s">
        <v>799</v>
      </c>
      <c r="K80" s="499" t="s">
        <v>799</v>
      </c>
      <c r="L80" s="530" t="s">
        <v>700</v>
      </c>
      <c r="M80" s="530" t="s">
        <v>700</v>
      </c>
      <c r="N80" s="531" t="s">
        <v>796</v>
      </c>
      <c r="O80" s="532" t="s">
        <v>721</v>
      </c>
    </row>
    <row r="81" spans="3:15" ht="21" x14ac:dyDescent="0.5">
      <c r="C81" s="505" t="s">
        <v>706</v>
      </c>
      <c r="D81" s="506" t="str">
        <f>VLOOKUP(C74,overview_of_services!$B$2:$I$88,7,FALSE)</f>
        <v>grid based optimization</v>
      </c>
      <c r="E81" s="499" t="s">
        <v>704</v>
      </c>
      <c r="F81" s="499" t="s">
        <v>704</v>
      </c>
      <c r="G81" s="499" t="s">
        <v>799</v>
      </c>
      <c r="H81" s="499">
        <v>0</v>
      </c>
      <c r="I81" s="499" t="s">
        <v>799</v>
      </c>
      <c r="J81" s="499" t="s">
        <v>799</v>
      </c>
      <c r="K81" s="499" t="s">
        <v>799</v>
      </c>
      <c r="L81" s="530" t="s">
        <v>799</v>
      </c>
      <c r="M81" s="530" t="s">
        <v>799</v>
      </c>
      <c r="N81" s="531" t="s">
        <v>800</v>
      </c>
      <c r="O81" s="529" t="s">
        <v>721</v>
      </c>
    </row>
    <row r="82" spans="3:15" ht="21" x14ac:dyDescent="0.5">
      <c r="C82" s="505" t="s">
        <v>710</v>
      </c>
      <c r="D82" s="506" t="str">
        <f>VLOOKUP(C74,overview_of_services!$B$2:$I$88,8,FALSE)</f>
        <v>VPP integration</v>
      </c>
      <c r="E82" s="499" t="s">
        <v>704</v>
      </c>
      <c r="F82" s="499" t="s">
        <v>704</v>
      </c>
      <c r="G82" s="499" t="s">
        <v>799</v>
      </c>
      <c r="H82" s="499">
        <v>0</v>
      </c>
      <c r="I82" s="499" t="s">
        <v>799</v>
      </c>
      <c r="J82" s="499" t="s">
        <v>799</v>
      </c>
      <c r="K82" s="499" t="s">
        <v>799</v>
      </c>
      <c r="L82" s="530" t="s">
        <v>697</v>
      </c>
      <c r="M82" s="530" t="s">
        <v>697</v>
      </c>
      <c r="N82" s="531" t="s">
        <v>801</v>
      </c>
      <c r="O82" s="529" t="s">
        <v>721</v>
      </c>
    </row>
    <row r="83" spans="3:15" ht="15" thickBot="1" x14ac:dyDescent="0.4">
      <c r="C83" s="504"/>
      <c r="D83" s="504"/>
      <c r="E83" s="508"/>
      <c r="F83" s="508"/>
      <c r="G83" s="508"/>
      <c r="H83" s="508"/>
      <c r="I83" s="508"/>
      <c r="J83" s="508"/>
      <c r="K83" s="508"/>
      <c r="L83" s="504"/>
      <c r="M83" s="504"/>
      <c r="N83" s="504"/>
      <c r="O83" s="504"/>
    </row>
    <row r="84" spans="3:15" ht="15" thickBot="1" x14ac:dyDescent="0.4">
      <c r="C84" s="509"/>
      <c r="D84" s="509" t="s">
        <v>712</v>
      </c>
      <c r="E84" s="510"/>
      <c r="F84" s="512"/>
      <c r="G84" s="511"/>
      <c r="H84" s="511"/>
      <c r="I84" s="511"/>
      <c r="J84" s="511"/>
      <c r="K84" s="511"/>
      <c r="L84" s="517"/>
      <c r="M84" s="518"/>
      <c r="N84" s="513"/>
      <c r="O84" s="513"/>
    </row>
    <row r="85" spans="3:15" ht="15" thickBot="1" x14ac:dyDescent="0.4">
      <c r="C85" s="509"/>
      <c r="D85" s="509" t="s">
        <v>714</v>
      </c>
      <c r="E85" s="510"/>
      <c r="F85" s="512"/>
      <c r="G85" s="511"/>
      <c r="H85" s="511"/>
      <c r="I85" s="511"/>
      <c r="J85" s="511"/>
      <c r="K85" s="511"/>
      <c r="L85" s="517"/>
      <c r="M85" s="518"/>
      <c r="N85" s="513"/>
      <c r="O85" s="513"/>
    </row>
    <row r="86" spans="3:15" ht="15" thickBot="1" x14ac:dyDescent="0.4">
      <c r="C86" s="481"/>
      <c r="D86" s="481"/>
      <c r="E86" s="481"/>
      <c r="F86" s="481"/>
      <c r="G86" s="482"/>
      <c r="H86" s="482"/>
      <c r="I86" s="482"/>
      <c r="J86" s="482"/>
      <c r="K86" s="482"/>
      <c r="L86" s="482"/>
      <c r="M86" s="482"/>
      <c r="N86" s="482"/>
      <c r="O86" s="481"/>
    </row>
    <row r="87" spans="3:15" ht="15" thickBot="1" x14ac:dyDescent="0.4">
      <c r="C87" s="483" t="s">
        <v>677</v>
      </c>
      <c r="D87" s="484" t="s">
        <v>678</v>
      </c>
      <c r="E87" s="481"/>
      <c r="F87" s="481"/>
      <c r="G87" s="482"/>
      <c r="H87" s="482"/>
      <c r="I87" s="482"/>
      <c r="J87" s="482"/>
      <c r="K87" s="482"/>
      <c r="L87" s="482"/>
      <c r="M87" s="482"/>
      <c r="N87" s="482"/>
      <c r="O87" s="481"/>
    </row>
    <row r="88" spans="3:15" ht="31.5" thickBot="1" x14ac:dyDescent="0.4">
      <c r="C88" s="487" t="s">
        <v>379</v>
      </c>
      <c r="D88" s="514" t="str">
        <f>VLOOKUP(C88,overview_of_services!$B$2:$I$88,3,FALSE)</f>
        <v>Services for integrating battery storage systems into energy portfolio</v>
      </c>
      <c r="E88" s="489"/>
      <c r="F88" s="490" t="s">
        <v>680</v>
      </c>
      <c r="G88" s="578" t="str">
        <f>VLOOKUP(C88,overview_of_services!$B$2:$I$88,2,FALSE)</f>
        <v>DSM- Storage</v>
      </c>
      <c r="H88" s="578"/>
      <c r="I88" s="490"/>
      <c r="J88" s="491"/>
      <c r="K88" s="491"/>
      <c r="L88" s="491"/>
      <c r="M88" s="491"/>
      <c r="N88" s="491"/>
      <c r="O88" s="492"/>
    </row>
    <row r="89" spans="3:15" x14ac:dyDescent="0.35">
      <c r="C89" s="493"/>
      <c r="D89" s="493"/>
      <c r="E89" s="493"/>
      <c r="F89" s="493"/>
      <c r="G89" s="493"/>
      <c r="H89" s="493"/>
      <c r="I89" s="493"/>
      <c r="J89" s="493"/>
      <c r="K89" s="493"/>
      <c r="L89" s="493"/>
      <c r="M89" s="493"/>
      <c r="N89" s="493"/>
      <c r="O89" s="493"/>
    </row>
    <row r="90" spans="3:15" x14ac:dyDescent="0.35">
      <c r="C90" s="575" t="s">
        <v>682</v>
      </c>
      <c r="D90" s="575"/>
      <c r="E90" s="577" t="s">
        <v>683</v>
      </c>
      <c r="F90" s="577"/>
      <c r="G90" s="577"/>
      <c r="H90" s="577"/>
      <c r="I90" s="577"/>
      <c r="J90" s="577"/>
      <c r="K90" s="577"/>
      <c r="L90" s="573" t="s">
        <v>684</v>
      </c>
      <c r="M90" s="574"/>
      <c r="N90" s="569" t="s">
        <v>685</v>
      </c>
      <c r="O90" s="571" t="s">
        <v>686</v>
      </c>
    </row>
    <row r="91" spans="3:15" ht="29.5" thickBot="1" x14ac:dyDescent="0.4">
      <c r="C91" s="576"/>
      <c r="D91" s="576"/>
      <c r="E91" s="495" t="s">
        <v>687</v>
      </c>
      <c r="F91" s="495" t="s">
        <v>688</v>
      </c>
      <c r="G91" s="495" t="s">
        <v>689</v>
      </c>
      <c r="H91" s="495" t="s">
        <v>690</v>
      </c>
      <c r="I91" s="495" t="s">
        <v>616</v>
      </c>
      <c r="J91" s="495" t="s">
        <v>691</v>
      </c>
      <c r="K91" s="495" t="s">
        <v>692</v>
      </c>
      <c r="L91" s="496" t="s">
        <v>693</v>
      </c>
      <c r="M91" s="496" t="s">
        <v>694</v>
      </c>
      <c r="N91" s="570"/>
      <c r="O91" s="572"/>
    </row>
    <row r="92" spans="3:15" ht="21.5" thickTop="1" x14ac:dyDescent="0.5">
      <c r="C92" s="497" t="s">
        <v>695</v>
      </c>
      <c r="D92" s="498" t="str">
        <f>VLOOKUP(C88,overview_of_services!$B$2:$I$88,4,FALSE)</f>
        <v>None</v>
      </c>
      <c r="E92" s="499">
        <v>0</v>
      </c>
      <c r="F92" s="499">
        <v>0</v>
      </c>
      <c r="G92" s="499">
        <v>0</v>
      </c>
      <c r="H92" s="499">
        <v>0</v>
      </c>
      <c r="I92" s="499">
        <v>0</v>
      </c>
      <c r="J92" s="499">
        <v>0</v>
      </c>
      <c r="K92" s="499">
        <v>0</v>
      </c>
      <c r="L92" s="530" t="s">
        <v>696</v>
      </c>
      <c r="M92" s="530" t="s">
        <v>696</v>
      </c>
      <c r="N92" s="531">
        <v>0</v>
      </c>
      <c r="O92" s="532" t="s">
        <v>721</v>
      </c>
    </row>
    <row r="93" spans="3:15" ht="21" x14ac:dyDescent="0.5">
      <c r="C93" s="505" t="s">
        <v>699</v>
      </c>
      <c r="D93" s="506" t="str">
        <f>VLOOKUP(C88,overview_of_services!$B$2:$I$88,5,FALSE)</f>
        <v>local control</v>
      </c>
      <c r="E93" s="499" t="s">
        <v>700</v>
      </c>
      <c r="F93" s="499" t="s">
        <v>700</v>
      </c>
      <c r="G93" s="499" t="s">
        <v>799</v>
      </c>
      <c r="H93" s="499">
        <v>0</v>
      </c>
      <c r="I93" s="499" t="s">
        <v>799</v>
      </c>
      <c r="J93" s="499" t="s">
        <v>697</v>
      </c>
      <c r="K93" s="499" t="s">
        <v>799</v>
      </c>
      <c r="L93" s="530" t="s">
        <v>700</v>
      </c>
      <c r="M93" s="530" t="s">
        <v>704</v>
      </c>
      <c r="N93" s="531" t="s">
        <v>796</v>
      </c>
      <c r="O93" s="532" t="s">
        <v>721</v>
      </c>
    </row>
    <row r="94" spans="3:15" ht="21" x14ac:dyDescent="0.5">
      <c r="C94" s="505" t="s">
        <v>703</v>
      </c>
      <c r="D94" s="506" t="str">
        <f>VLOOKUP(C88,overview_of_services!$B$2:$I$88,6,FALSE)</f>
        <v>local optimization based on pricing</v>
      </c>
      <c r="E94" s="499" t="s">
        <v>704</v>
      </c>
      <c r="F94" s="499" t="s">
        <v>704</v>
      </c>
      <c r="G94" s="499" t="s">
        <v>799</v>
      </c>
      <c r="H94" s="499">
        <v>0</v>
      </c>
      <c r="I94" s="499" t="s">
        <v>799</v>
      </c>
      <c r="J94" s="499" t="s">
        <v>697</v>
      </c>
      <c r="K94" s="499" t="s">
        <v>799</v>
      </c>
      <c r="L94" s="530" t="s">
        <v>799</v>
      </c>
      <c r="M94" s="530" t="s">
        <v>700</v>
      </c>
      <c r="N94" s="531" t="s">
        <v>800</v>
      </c>
      <c r="O94" s="532" t="s">
        <v>721</v>
      </c>
    </row>
    <row r="95" spans="3:15" ht="21" x14ac:dyDescent="0.5">
      <c r="C95" s="505" t="s">
        <v>706</v>
      </c>
      <c r="D95" s="506" t="str">
        <f>VLOOKUP(C88,overview_of_services!$B$2:$I$88,7,FALSE)</f>
        <v>grid based optimization</v>
      </c>
      <c r="E95" s="499" t="s">
        <v>704</v>
      </c>
      <c r="F95" s="499" t="s">
        <v>704</v>
      </c>
      <c r="G95" s="499" t="s">
        <v>799</v>
      </c>
      <c r="H95" s="499">
        <v>0</v>
      </c>
      <c r="I95" s="499" t="s">
        <v>799</v>
      </c>
      <c r="J95" s="499" t="s">
        <v>697</v>
      </c>
      <c r="K95" s="499" t="s">
        <v>799</v>
      </c>
      <c r="L95" s="530" t="s">
        <v>697</v>
      </c>
      <c r="M95" s="530" t="s">
        <v>799</v>
      </c>
      <c r="N95" s="531" t="s">
        <v>801</v>
      </c>
      <c r="O95" s="529" t="s">
        <v>721</v>
      </c>
    </row>
    <row r="96" spans="3:15" ht="21" x14ac:dyDescent="0.5">
      <c r="C96" s="505" t="s">
        <v>710</v>
      </c>
      <c r="D96" s="506">
        <f>VLOOKUP(C88,overview_of_services!$B$2:$I$88,8,FALSE)</f>
        <v>0</v>
      </c>
      <c r="E96" s="507"/>
      <c r="F96" s="499"/>
      <c r="G96" s="507"/>
      <c r="H96" s="507"/>
      <c r="I96" s="499"/>
      <c r="J96" s="499"/>
      <c r="K96" s="499" t="s">
        <v>799</v>
      </c>
      <c r="L96" s="500" t="s">
        <v>721</v>
      </c>
      <c r="M96" s="500" t="s">
        <v>721</v>
      </c>
      <c r="N96" s="501" t="s">
        <v>721</v>
      </c>
      <c r="O96" s="529" t="s">
        <v>721</v>
      </c>
    </row>
    <row r="97" spans="3:15" ht="15" thickBot="1" x14ac:dyDescent="0.4">
      <c r="C97" s="504"/>
      <c r="D97" s="504"/>
      <c r="E97" s="508"/>
      <c r="F97" s="508"/>
      <c r="G97" s="508"/>
      <c r="H97" s="508"/>
      <c r="I97" s="508"/>
      <c r="J97" s="508"/>
      <c r="K97" s="508"/>
      <c r="L97" s="504"/>
      <c r="M97" s="504"/>
      <c r="N97" s="504"/>
      <c r="O97" s="504"/>
    </row>
    <row r="98" spans="3:15" ht="15" thickBot="1" x14ac:dyDescent="0.4">
      <c r="C98" s="509"/>
      <c r="D98" s="509" t="s">
        <v>712</v>
      </c>
      <c r="E98" s="510"/>
      <c r="F98" s="512"/>
      <c r="G98" s="511"/>
      <c r="H98" s="511"/>
      <c r="I98" s="511"/>
      <c r="J98" s="511"/>
      <c r="K98" s="511"/>
      <c r="L98" s="517"/>
      <c r="M98" s="518"/>
      <c r="N98" s="513"/>
      <c r="O98" s="513"/>
    </row>
    <row r="99" spans="3:15" ht="15" thickBot="1" x14ac:dyDescent="0.4">
      <c r="C99" s="509"/>
      <c r="D99" s="509" t="s">
        <v>714</v>
      </c>
      <c r="E99" s="510" t="s">
        <v>802</v>
      </c>
      <c r="F99" s="510" t="s">
        <v>802</v>
      </c>
      <c r="G99" s="510"/>
      <c r="H99" s="511"/>
      <c r="I99" s="511"/>
      <c r="J99" s="511"/>
      <c r="K99" s="511"/>
      <c r="L99" s="517"/>
      <c r="M99" s="518"/>
      <c r="N99" s="513"/>
      <c r="O99" s="513"/>
    </row>
    <row r="100" spans="3:15" ht="15" thickBot="1" x14ac:dyDescent="0.4">
      <c r="C100" s="481"/>
      <c r="D100" s="481"/>
      <c r="E100" s="481"/>
      <c r="F100" s="481"/>
      <c r="G100" s="482"/>
      <c r="H100" s="482"/>
      <c r="I100" s="482"/>
      <c r="J100" s="482"/>
      <c r="K100" s="482"/>
      <c r="L100" s="482"/>
      <c r="M100" s="482"/>
      <c r="N100" s="482"/>
      <c r="O100" s="481"/>
    </row>
    <row r="101" spans="3:15" ht="15" thickBot="1" x14ac:dyDescent="0.4">
      <c r="C101" s="483" t="s">
        <v>677</v>
      </c>
      <c r="D101" s="484" t="s">
        <v>678</v>
      </c>
      <c r="E101" s="481"/>
      <c r="F101" s="481"/>
      <c r="G101" s="482"/>
      <c r="H101" s="482"/>
      <c r="I101" s="482"/>
      <c r="J101" s="482"/>
      <c r="K101" s="482"/>
      <c r="L101" s="482"/>
      <c r="M101" s="482"/>
      <c r="N101" s="482"/>
      <c r="O101" s="481"/>
    </row>
    <row r="102" spans="3:15" ht="16" thickBot="1" x14ac:dyDescent="0.4">
      <c r="C102" s="487" t="s">
        <v>381</v>
      </c>
      <c r="D102" s="514" t="str">
        <f>VLOOKUP(C102,overview_of_services!$B$2:$I$88,3,FALSE)</f>
        <v>Support of microgrid operation modes</v>
      </c>
      <c r="E102" s="489"/>
      <c r="F102" s="490" t="s">
        <v>680</v>
      </c>
      <c r="G102" s="578" t="str">
        <f>VLOOKUP(C102,overview_of_services!$B$2:$I$88,2,FALSE)</f>
        <v>DSM- Storage</v>
      </c>
      <c r="H102" s="578"/>
      <c r="I102" s="490"/>
      <c r="J102" s="491"/>
      <c r="K102" s="491"/>
      <c r="L102" s="491"/>
      <c r="M102" s="491"/>
      <c r="N102" s="491"/>
      <c r="O102" s="492"/>
    </row>
    <row r="103" spans="3:15" x14ac:dyDescent="0.35">
      <c r="C103" s="493"/>
      <c r="D103" s="493"/>
      <c r="E103" s="493"/>
      <c r="F103" s="493"/>
      <c r="G103" s="493"/>
      <c r="H103" s="493"/>
      <c r="I103" s="493"/>
      <c r="J103" s="493"/>
      <c r="K103" s="493"/>
      <c r="L103" s="493"/>
      <c r="M103" s="493"/>
      <c r="N103" s="493"/>
      <c r="O103" s="493"/>
    </row>
    <row r="104" spans="3:15" x14ac:dyDescent="0.35">
      <c r="C104" s="575" t="s">
        <v>682</v>
      </c>
      <c r="D104" s="575"/>
      <c r="E104" s="577" t="s">
        <v>683</v>
      </c>
      <c r="F104" s="577"/>
      <c r="G104" s="577"/>
      <c r="H104" s="577"/>
      <c r="I104" s="577"/>
      <c r="J104" s="577"/>
      <c r="K104" s="577"/>
      <c r="L104" s="573" t="s">
        <v>684</v>
      </c>
      <c r="M104" s="574"/>
      <c r="N104" s="569" t="s">
        <v>685</v>
      </c>
      <c r="O104" s="571" t="s">
        <v>686</v>
      </c>
    </row>
    <row r="105" spans="3:15" ht="29.5" thickBot="1" x14ac:dyDescent="0.4">
      <c r="C105" s="576"/>
      <c r="D105" s="576"/>
      <c r="E105" s="495" t="s">
        <v>687</v>
      </c>
      <c r="F105" s="495" t="s">
        <v>688</v>
      </c>
      <c r="G105" s="495" t="s">
        <v>689</v>
      </c>
      <c r="H105" s="495" t="s">
        <v>690</v>
      </c>
      <c r="I105" s="495" t="s">
        <v>616</v>
      </c>
      <c r="J105" s="495" t="s">
        <v>691</v>
      </c>
      <c r="K105" s="495" t="s">
        <v>692</v>
      </c>
      <c r="L105" s="496" t="s">
        <v>693</v>
      </c>
      <c r="M105" s="496" t="s">
        <v>694</v>
      </c>
      <c r="N105" s="570"/>
      <c r="O105" s="572"/>
    </row>
    <row r="106" spans="3:15" ht="21.5" thickTop="1" x14ac:dyDescent="0.5">
      <c r="C106" s="497" t="s">
        <v>695</v>
      </c>
      <c r="D106" s="498" t="str">
        <f>VLOOKUP(C102,overview_of_services!$B$2:$I$88,4,FALSE)</f>
        <v>None</v>
      </c>
      <c r="E106" s="499">
        <v>0</v>
      </c>
      <c r="F106" s="499">
        <v>0</v>
      </c>
      <c r="G106" s="499">
        <v>0</v>
      </c>
      <c r="H106" s="499">
        <v>0</v>
      </c>
      <c r="I106" s="499">
        <v>0</v>
      </c>
      <c r="J106" s="499">
        <v>0</v>
      </c>
      <c r="K106" s="499">
        <v>0</v>
      </c>
      <c r="L106" s="530" t="s">
        <v>696</v>
      </c>
      <c r="M106" s="530" t="s">
        <v>696</v>
      </c>
      <c r="N106" s="531">
        <v>0</v>
      </c>
      <c r="O106" s="532" t="s">
        <v>721</v>
      </c>
    </row>
    <row r="107" spans="3:15" ht="21" x14ac:dyDescent="0.5">
      <c r="C107" s="505" t="s">
        <v>699</v>
      </c>
      <c r="D107" s="506" t="str">
        <f>VLOOKUP(C102,overview_of_services!$B$2:$I$88,5,FALSE)</f>
        <v>local battery usage</v>
      </c>
      <c r="E107" s="499">
        <v>0</v>
      </c>
      <c r="F107" s="499" t="s">
        <v>704</v>
      </c>
      <c r="G107" s="499">
        <v>0</v>
      </c>
      <c r="H107" s="499">
        <v>0</v>
      </c>
      <c r="I107" s="499">
        <v>0</v>
      </c>
      <c r="J107" s="499">
        <v>0</v>
      </c>
      <c r="K107" s="499">
        <v>0</v>
      </c>
      <c r="L107" s="530" t="s">
        <v>799</v>
      </c>
      <c r="M107" s="530" t="s">
        <v>799</v>
      </c>
      <c r="N107" s="531" t="s">
        <v>800</v>
      </c>
      <c r="O107" s="532" t="s">
        <v>721</v>
      </c>
    </row>
    <row r="108" spans="3:15" ht="21" x14ac:dyDescent="0.5">
      <c r="C108" s="505" t="s">
        <v>703</v>
      </c>
      <c r="D108" s="506" t="str">
        <f>VLOOKUP(C102,overview_of_services!$B$2:$I$88,6,FALSE)</f>
        <v>autonmous energy consumption control</v>
      </c>
      <c r="E108" s="499">
        <v>0</v>
      </c>
      <c r="F108" s="499" t="s">
        <v>704</v>
      </c>
      <c r="G108" s="499">
        <v>0</v>
      </c>
      <c r="H108" s="499" t="s">
        <v>704</v>
      </c>
      <c r="I108" s="499">
        <v>0</v>
      </c>
      <c r="J108" s="499">
        <v>0</v>
      </c>
      <c r="K108" s="499">
        <v>0</v>
      </c>
      <c r="L108" s="530" t="s">
        <v>799</v>
      </c>
      <c r="M108" s="530" t="s">
        <v>799</v>
      </c>
      <c r="N108" s="531" t="s">
        <v>801</v>
      </c>
      <c r="O108" s="532" t="s">
        <v>721</v>
      </c>
    </row>
    <row r="109" spans="3:15" ht="21" x14ac:dyDescent="0.5">
      <c r="C109" s="505" t="s">
        <v>706</v>
      </c>
      <c r="D109" s="506">
        <f>VLOOKUP(C102,overview_of_services!$B$2:$I$88,7,FALSE)</f>
        <v>0</v>
      </c>
      <c r="E109" s="499" t="s">
        <v>721</v>
      </c>
      <c r="F109" s="499" t="s">
        <v>721</v>
      </c>
      <c r="G109" s="499" t="s">
        <v>721</v>
      </c>
      <c r="H109" s="499" t="s">
        <v>721</v>
      </c>
      <c r="I109" s="499" t="s">
        <v>721</v>
      </c>
      <c r="J109" s="499" t="s">
        <v>721</v>
      </c>
      <c r="K109" s="499" t="s">
        <v>721</v>
      </c>
      <c r="L109" s="500" t="s">
        <v>721</v>
      </c>
      <c r="M109" s="500" t="s">
        <v>721</v>
      </c>
      <c r="N109" s="501" t="s">
        <v>721</v>
      </c>
      <c r="O109" s="529" t="s">
        <v>721</v>
      </c>
    </row>
    <row r="110" spans="3:15" ht="21" x14ac:dyDescent="0.5">
      <c r="C110" s="505" t="s">
        <v>710</v>
      </c>
      <c r="D110" s="506">
        <f>VLOOKUP(C102,overview_of_services!$B$2:$I$88,8,FALSE)</f>
        <v>0</v>
      </c>
      <c r="E110" s="507"/>
      <c r="F110" s="499"/>
      <c r="G110" s="507"/>
      <c r="H110" s="507"/>
      <c r="I110" s="499"/>
      <c r="J110" s="499"/>
      <c r="K110" s="499"/>
      <c r="L110" s="500" t="s">
        <v>721</v>
      </c>
      <c r="M110" s="500" t="s">
        <v>721</v>
      </c>
      <c r="N110" s="501" t="s">
        <v>721</v>
      </c>
      <c r="O110" s="529" t="s">
        <v>721</v>
      </c>
    </row>
    <row r="111" spans="3:15" ht="15" thickBot="1" x14ac:dyDescent="0.4">
      <c r="C111" s="504"/>
      <c r="D111" s="504"/>
      <c r="E111" s="508"/>
      <c r="F111" s="508"/>
      <c r="G111" s="508"/>
      <c r="H111" s="508"/>
      <c r="I111" s="508"/>
      <c r="J111" s="508"/>
      <c r="K111" s="508"/>
      <c r="L111" s="504"/>
      <c r="M111" s="504"/>
      <c r="N111" s="504"/>
      <c r="O111" s="504"/>
    </row>
    <row r="112" spans="3:15" ht="15" thickBot="1" x14ac:dyDescent="0.4">
      <c r="C112" s="509"/>
      <c r="D112" s="509" t="s">
        <v>712</v>
      </c>
      <c r="E112" s="510"/>
      <c r="F112" s="512"/>
      <c r="G112" s="511"/>
      <c r="H112" s="511"/>
      <c r="I112" s="511"/>
      <c r="J112" s="511"/>
      <c r="K112" s="511"/>
      <c r="L112" s="517"/>
      <c r="M112" s="518"/>
      <c r="N112" s="513"/>
      <c r="O112" s="513"/>
    </row>
    <row r="113" spans="3:15" ht="15" thickBot="1" x14ac:dyDescent="0.4">
      <c r="C113" s="509"/>
      <c r="D113" s="509" t="s">
        <v>714</v>
      </c>
      <c r="E113" s="510" t="s">
        <v>803</v>
      </c>
      <c r="F113" s="510" t="s">
        <v>803</v>
      </c>
      <c r="G113" s="510"/>
      <c r="H113" s="511"/>
      <c r="I113" s="511"/>
      <c r="J113" s="510" t="s">
        <v>803</v>
      </c>
      <c r="K113" s="510" t="s">
        <v>803</v>
      </c>
      <c r="L113" s="518"/>
      <c r="M113" s="518"/>
      <c r="N113" s="513"/>
      <c r="O113" s="513"/>
    </row>
    <row r="114" spans="3:15" ht="15" thickBot="1" x14ac:dyDescent="0.4">
      <c r="C114" s="481"/>
      <c r="D114" s="481"/>
      <c r="E114" s="481"/>
      <c r="F114" s="481"/>
      <c r="G114" s="482"/>
      <c r="H114" s="482"/>
      <c r="I114" s="482"/>
      <c r="J114" s="482"/>
      <c r="K114" s="482"/>
      <c r="L114" s="482"/>
      <c r="M114" s="482"/>
      <c r="N114" s="482"/>
      <c r="O114" s="481"/>
    </row>
    <row r="115" spans="3:15" ht="15" thickBot="1" x14ac:dyDescent="0.4">
      <c r="C115" s="483" t="s">
        <v>677</v>
      </c>
      <c r="D115" s="484" t="s">
        <v>678</v>
      </c>
      <c r="E115" s="481"/>
      <c r="F115" s="481"/>
      <c r="G115" s="482"/>
      <c r="H115" s="482"/>
      <c r="I115" s="482"/>
      <c r="J115" s="482"/>
      <c r="K115" s="482"/>
      <c r="L115" s="482"/>
      <c r="M115" s="482"/>
      <c r="N115" s="482"/>
      <c r="O115" s="481"/>
    </row>
    <row r="116" spans="3:15" ht="16" thickBot="1" x14ac:dyDescent="0.4">
      <c r="C116" s="487" t="s">
        <v>385</v>
      </c>
      <c r="D116" s="514" t="str">
        <f>VLOOKUP(C116,overview_of_services!$B$2:$I$88,3,FALSE)</f>
        <v>Integration of smart appliances</v>
      </c>
      <c r="E116" s="489"/>
      <c r="F116" s="490" t="s">
        <v>680</v>
      </c>
      <c r="G116" s="578" t="str">
        <f>VLOOKUP(C116,overview_of_services!$B$2:$I$88,2,FALSE)</f>
        <v>DSM- Storage</v>
      </c>
      <c r="H116" s="578"/>
      <c r="I116" s="490"/>
      <c r="J116" s="491"/>
      <c r="K116" s="491"/>
      <c r="L116" s="491"/>
      <c r="M116" s="491"/>
      <c r="N116" s="491"/>
      <c r="O116" s="492"/>
    </row>
    <row r="117" spans="3:15" x14ac:dyDescent="0.35">
      <c r="C117" s="493"/>
      <c r="D117" s="493"/>
      <c r="E117" s="493"/>
      <c r="F117" s="493"/>
      <c r="G117" s="493"/>
      <c r="H117" s="493"/>
      <c r="I117" s="493"/>
      <c r="J117" s="493"/>
      <c r="K117" s="493"/>
      <c r="L117" s="493"/>
      <c r="M117" s="493"/>
      <c r="N117" s="493"/>
      <c r="O117" s="493"/>
    </row>
    <row r="118" spans="3:15" x14ac:dyDescent="0.35">
      <c r="C118" s="575" t="s">
        <v>682</v>
      </c>
      <c r="D118" s="575"/>
      <c r="E118" s="577" t="s">
        <v>683</v>
      </c>
      <c r="F118" s="577"/>
      <c r="G118" s="577"/>
      <c r="H118" s="577"/>
      <c r="I118" s="577"/>
      <c r="J118" s="577"/>
      <c r="K118" s="577"/>
      <c r="L118" s="573" t="s">
        <v>684</v>
      </c>
      <c r="M118" s="574"/>
      <c r="N118" s="569" t="s">
        <v>685</v>
      </c>
      <c r="O118" s="571" t="s">
        <v>686</v>
      </c>
    </row>
    <row r="119" spans="3:15" ht="29.5" thickBot="1" x14ac:dyDescent="0.4">
      <c r="C119" s="576"/>
      <c r="D119" s="576"/>
      <c r="E119" s="495" t="s">
        <v>687</v>
      </c>
      <c r="F119" s="495" t="s">
        <v>688</v>
      </c>
      <c r="G119" s="495" t="s">
        <v>689</v>
      </c>
      <c r="H119" s="495" t="s">
        <v>690</v>
      </c>
      <c r="I119" s="495" t="s">
        <v>616</v>
      </c>
      <c r="J119" s="495" t="s">
        <v>691</v>
      </c>
      <c r="K119" s="495" t="s">
        <v>692</v>
      </c>
      <c r="L119" s="496" t="s">
        <v>693</v>
      </c>
      <c r="M119" s="496" t="s">
        <v>694</v>
      </c>
      <c r="N119" s="570"/>
      <c r="O119" s="572"/>
    </row>
    <row r="120" spans="3:15" ht="21.5" thickTop="1" x14ac:dyDescent="0.5">
      <c r="C120" s="497" t="s">
        <v>695</v>
      </c>
      <c r="D120" s="498" t="str">
        <f>VLOOKUP(C116,overview_of_services!$B$2:$I$88,4,FALSE)</f>
        <v>None</v>
      </c>
      <c r="E120" s="499">
        <v>0</v>
      </c>
      <c r="F120" s="499">
        <v>0</v>
      </c>
      <c r="G120" s="499">
        <v>0</v>
      </c>
      <c r="H120" s="499">
        <v>0</v>
      </c>
      <c r="I120" s="499">
        <v>0</v>
      </c>
      <c r="J120" s="499">
        <v>0</v>
      </c>
      <c r="K120" s="499">
        <v>0</v>
      </c>
      <c r="L120" s="530" t="s">
        <v>696</v>
      </c>
      <c r="M120" s="530" t="s">
        <v>696</v>
      </c>
      <c r="N120" s="531">
        <v>0</v>
      </c>
      <c r="O120" s="532" t="s">
        <v>721</v>
      </c>
    </row>
    <row r="121" spans="3:15" ht="21" x14ac:dyDescent="0.5">
      <c r="C121" s="505" t="s">
        <v>699</v>
      </c>
      <c r="D121" s="506" t="str">
        <f>VLOOKUP(C116,overview_of_services!$B$2:$I$88,5,FALSE)</f>
        <v>local control</v>
      </c>
      <c r="E121" s="499" t="s">
        <v>700</v>
      </c>
      <c r="F121" s="499">
        <v>0</v>
      </c>
      <c r="G121" s="499">
        <v>0</v>
      </c>
      <c r="H121" s="499" t="s">
        <v>700</v>
      </c>
      <c r="I121" s="499">
        <v>0</v>
      </c>
      <c r="J121" s="499" t="s">
        <v>697</v>
      </c>
      <c r="K121" s="499">
        <v>0</v>
      </c>
      <c r="L121" s="530" t="s">
        <v>704</v>
      </c>
      <c r="M121" s="530" t="s">
        <v>700</v>
      </c>
      <c r="N121" s="531" t="s">
        <v>796</v>
      </c>
      <c r="O121" s="532" t="s">
        <v>721</v>
      </c>
    </row>
    <row r="122" spans="3:15" ht="21" x14ac:dyDescent="0.5">
      <c r="C122" s="505" t="s">
        <v>703</v>
      </c>
      <c r="D122" s="506" t="str">
        <f>VLOOKUP(C116,overview_of_services!$B$2:$I$88,6,FALSE)</f>
        <v>building based assets optimization</v>
      </c>
      <c r="E122" s="499" t="s">
        <v>704</v>
      </c>
      <c r="F122" s="499" t="s">
        <v>700</v>
      </c>
      <c r="G122" s="499">
        <v>0</v>
      </c>
      <c r="H122" s="499" t="s">
        <v>700</v>
      </c>
      <c r="I122" s="499">
        <v>0</v>
      </c>
      <c r="J122" s="499" t="s">
        <v>697</v>
      </c>
      <c r="K122" s="499">
        <v>0</v>
      </c>
      <c r="L122" s="530" t="s">
        <v>700</v>
      </c>
      <c r="M122" s="530" t="s">
        <v>704</v>
      </c>
      <c r="N122" s="531" t="s">
        <v>804</v>
      </c>
      <c r="O122" s="532" t="s">
        <v>721</v>
      </c>
    </row>
    <row r="123" spans="3:15" ht="21" x14ac:dyDescent="0.5">
      <c r="C123" s="505" t="s">
        <v>706</v>
      </c>
      <c r="D123" s="506" t="str">
        <f>VLOOKUP(C116,overview_of_services!$B$2:$I$88,7,FALSE)</f>
        <v>price based optimization</v>
      </c>
      <c r="E123" s="499" t="s">
        <v>704</v>
      </c>
      <c r="F123" s="499" t="s">
        <v>700</v>
      </c>
      <c r="G123" s="499">
        <v>0</v>
      </c>
      <c r="H123" s="499" t="s">
        <v>700</v>
      </c>
      <c r="I123" s="499">
        <v>0</v>
      </c>
      <c r="J123" s="499" t="s">
        <v>697</v>
      </c>
      <c r="K123" s="499">
        <v>0</v>
      </c>
      <c r="L123" s="530" t="s">
        <v>799</v>
      </c>
      <c r="M123" s="530" t="s">
        <v>799</v>
      </c>
      <c r="N123" s="531" t="s">
        <v>800</v>
      </c>
      <c r="O123" s="529" t="s">
        <v>721</v>
      </c>
    </row>
    <row r="124" spans="3:15" ht="21" x14ac:dyDescent="0.5">
      <c r="C124" s="505" t="s">
        <v>710</v>
      </c>
      <c r="D124" s="506" t="str">
        <f>VLOOKUP(C116,overview_of_services!$B$2:$I$88,8,FALSE)</f>
        <v>grid based optimization</v>
      </c>
      <c r="E124" s="507" t="s">
        <v>700</v>
      </c>
      <c r="F124" s="499" t="s">
        <v>700</v>
      </c>
      <c r="G124" s="499">
        <v>0</v>
      </c>
      <c r="H124" s="507" t="s">
        <v>700</v>
      </c>
      <c r="I124" s="499">
        <v>0</v>
      </c>
      <c r="J124" s="499" t="s">
        <v>697</v>
      </c>
      <c r="K124" s="499">
        <v>0</v>
      </c>
      <c r="L124" s="530" t="s">
        <v>799</v>
      </c>
      <c r="M124" s="530" t="s">
        <v>799</v>
      </c>
      <c r="N124" s="531" t="s">
        <v>800</v>
      </c>
      <c r="O124" s="529" t="s">
        <v>721</v>
      </c>
    </row>
    <row r="125" spans="3:15" ht="15" thickBot="1" x14ac:dyDescent="0.4">
      <c r="C125" s="504"/>
      <c r="D125" s="504"/>
      <c r="E125" s="508"/>
      <c r="F125" s="508"/>
      <c r="G125" s="508"/>
      <c r="H125" s="508"/>
      <c r="I125" s="508"/>
      <c r="J125" s="508"/>
      <c r="K125" s="508"/>
      <c r="L125" s="504"/>
      <c r="M125" s="504"/>
      <c r="N125" s="504"/>
      <c r="O125" s="504"/>
    </row>
    <row r="126" spans="3:15" ht="15" thickBot="1" x14ac:dyDescent="0.4">
      <c r="C126" s="509"/>
      <c r="D126" s="509" t="s">
        <v>712</v>
      </c>
      <c r="E126" s="510"/>
      <c r="F126" s="512"/>
      <c r="G126" s="511"/>
      <c r="H126" s="511"/>
      <c r="I126" s="511"/>
      <c r="J126" s="511"/>
      <c r="K126" s="511"/>
      <c r="L126" s="517"/>
      <c r="M126" s="518"/>
      <c r="N126" s="513"/>
      <c r="O126" s="513"/>
    </row>
    <row r="127" spans="3:15" ht="15" thickBot="1" x14ac:dyDescent="0.4">
      <c r="C127" s="509"/>
      <c r="D127" s="509" t="s">
        <v>714</v>
      </c>
      <c r="E127" s="510" t="s">
        <v>805</v>
      </c>
      <c r="F127" s="510" t="s">
        <v>805</v>
      </c>
      <c r="G127" s="511"/>
      <c r="H127" s="511"/>
      <c r="I127" s="511"/>
      <c r="J127" s="510" t="s">
        <v>805</v>
      </c>
      <c r="K127" s="510" t="s">
        <v>805</v>
      </c>
      <c r="L127" s="517"/>
      <c r="M127" s="518"/>
      <c r="N127" s="513"/>
      <c r="O127" s="513"/>
    </row>
    <row r="128" spans="3:15" ht="15" thickBot="1" x14ac:dyDescent="0.4"/>
    <row r="129" spans="3:66" ht="15" thickBot="1" x14ac:dyDescent="0.4">
      <c r="C129" s="483" t="s">
        <v>677</v>
      </c>
      <c r="D129" s="484" t="s">
        <v>678</v>
      </c>
      <c r="E129" s="481"/>
      <c r="F129" s="481"/>
      <c r="G129" s="482"/>
      <c r="H129" s="482"/>
      <c r="I129" s="482"/>
      <c r="J129" s="482"/>
      <c r="K129" s="482"/>
      <c r="L129" s="482"/>
      <c r="M129" s="482"/>
      <c r="N129" s="482"/>
      <c r="O129" s="481"/>
    </row>
    <row r="130" spans="3:66" ht="16" thickBot="1" x14ac:dyDescent="0.4">
      <c r="C130" s="487" t="s">
        <v>389</v>
      </c>
      <c r="D130" s="514" t="str">
        <f>VLOOKUP(C130,overview_of_services!$B$2:$I$123,3,FALSE)</f>
        <v>Flexible start and switch off of home appliances</v>
      </c>
      <c r="E130" s="489"/>
      <c r="F130" s="490" t="s">
        <v>680</v>
      </c>
      <c r="G130" s="578" t="str">
        <f>VLOOKUP(C130,overview_of_services!$B$2:$I$123,2,FALSE)</f>
        <v>DSM - Local Systems</v>
      </c>
      <c r="H130" s="578"/>
      <c r="I130" s="490"/>
      <c r="J130" s="491"/>
      <c r="K130" s="491"/>
      <c r="L130" s="491"/>
      <c r="M130" s="491"/>
      <c r="N130" s="491"/>
      <c r="O130" s="492"/>
    </row>
    <row r="131" spans="3:66" x14ac:dyDescent="0.35">
      <c r="C131" s="493"/>
      <c r="D131" s="493"/>
      <c r="E131" s="493"/>
      <c r="F131" s="493"/>
      <c r="G131" s="493"/>
      <c r="H131" s="493"/>
      <c r="I131" s="493"/>
      <c r="J131" s="493"/>
      <c r="K131" s="493"/>
      <c r="L131" s="493"/>
      <c r="M131" s="493"/>
      <c r="N131" s="493"/>
      <c r="O131" s="493"/>
    </row>
    <row r="132" spans="3:66" x14ac:dyDescent="0.35">
      <c r="C132" s="575" t="s">
        <v>682</v>
      </c>
      <c r="D132" s="575"/>
      <c r="E132" s="577" t="s">
        <v>683</v>
      </c>
      <c r="F132" s="577"/>
      <c r="G132" s="577"/>
      <c r="H132" s="577"/>
      <c r="I132" s="577"/>
      <c r="J132" s="577"/>
      <c r="K132" s="577"/>
      <c r="L132" s="573" t="s">
        <v>684</v>
      </c>
      <c r="M132" s="574"/>
      <c r="N132" s="569" t="s">
        <v>685</v>
      </c>
      <c r="O132" s="571" t="s">
        <v>686</v>
      </c>
    </row>
    <row r="133" spans="3:66" ht="29.5" thickBot="1" x14ac:dyDescent="0.4">
      <c r="C133" s="576"/>
      <c r="D133" s="576"/>
      <c r="E133" s="495" t="s">
        <v>687</v>
      </c>
      <c r="F133" s="495" t="s">
        <v>688</v>
      </c>
      <c r="G133" s="495" t="s">
        <v>689</v>
      </c>
      <c r="H133" s="495" t="s">
        <v>690</v>
      </c>
      <c r="I133" s="495" t="s">
        <v>616</v>
      </c>
      <c r="J133" s="495" t="s">
        <v>691</v>
      </c>
      <c r="K133" s="495" t="s">
        <v>692</v>
      </c>
      <c r="L133" s="496" t="s">
        <v>693</v>
      </c>
      <c r="M133" s="496" t="s">
        <v>694</v>
      </c>
      <c r="N133" s="570"/>
      <c r="O133" s="572"/>
    </row>
    <row r="134" spans="3:66" ht="21.5" thickTop="1" x14ac:dyDescent="0.5">
      <c r="C134" s="497" t="s">
        <v>695</v>
      </c>
      <c r="D134" s="498" t="str">
        <f>VLOOKUP(C130,overview_of_services!$B$2:$I$123,4,FALSE)</f>
        <v>None</v>
      </c>
      <c r="E134" s="499">
        <v>0</v>
      </c>
      <c r="F134" s="499">
        <v>0</v>
      </c>
      <c r="G134" s="499">
        <v>0</v>
      </c>
      <c r="H134" s="499">
        <v>0</v>
      </c>
      <c r="I134" s="499">
        <v>0</v>
      </c>
      <c r="J134" s="499">
        <v>0</v>
      </c>
      <c r="K134" s="499">
        <v>0</v>
      </c>
      <c r="L134" s="530" t="s">
        <v>696</v>
      </c>
      <c r="M134" s="530" t="s">
        <v>696</v>
      </c>
      <c r="N134" s="531">
        <v>0</v>
      </c>
      <c r="O134" s="532" t="s">
        <v>721</v>
      </c>
    </row>
    <row r="135" spans="3:66" ht="21" x14ac:dyDescent="0.5">
      <c r="C135" s="505" t="s">
        <v>699</v>
      </c>
      <c r="D135" s="506" t="str">
        <f>VLOOKUP(C130,overview_of_services!$B$2:$I$123,5,FALSE)</f>
        <v>tarif based</v>
      </c>
      <c r="E135" s="499">
        <v>0</v>
      </c>
      <c r="F135" s="499" t="s">
        <v>704</v>
      </c>
      <c r="G135" s="499" t="s">
        <v>797</v>
      </c>
      <c r="H135" s="499" t="s">
        <v>797</v>
      </c>
      <c r="I135" s="499" t="s">
        <v>799</v>
      </c>
      <c r="J135" s="499">
        <v>0</v>
      </c>
      <c r="K135" s="499">
        <v>0</v>
      </c>
      <c r="L135" s="530" t="s">
        <v>700</v>
      </c>
      <c r="M135" s="530" t="s">
        <v>799</v>
      </c>
      <c r="N135" s="531" t="s">
        <v>796</v>
      </c>
      <c r="O135" s="532" t="s">
        <v>721</v>
      </c>
    </row>
    <row r="136" spans="3:66" ht="21" x14ac:dyDescent="0.5">
      <c r="C136" s="505" t="s">
        <v>703</v>
      </c>
      <c r="D136" s="506" t="str">
        <f>VLOOKUP(C130,overview_of_services!$B$2:$I$123,6,FALSE)</f>
        <v>grid condition based</v>
      </c>
      <c r="E136" s="499">
        <v>0</v>
      </c>
      <c r="F136" s="499" t="s">
        <v>704</v>
      </c>
      <c r="G136" s="499" t="s">
        <v>797</v>
      </c>
      <c r="H136" s="499" t="s">
        <v>797</v>
      </c>
      <c r="I136" s="499" t="s">
        <v>799</v>
      </c>
      <c r="J136" s="499">
        <v>0</v>
      </c>
      <c r="K136" s="499">
        <v>0</v>
      </c>
      <c r="L136" s="530" t="s">
        <v>797</v>
      </c>
      <c r="M136" s="530" t="s">
        <v>697</v>
      </c>
      <c r="N136" s="531" t="s">
        <v>796</v>
      </c>
      <c r="O136" s="532" t="s">
        <v>721</v>
      </c>
    </row>
    <row r="137" spans="3:66" ht="21" x14ac:dyDescent="0.5">
      <c r="C137" s="505" t="s">
        <v>706</v>
      </c>
      <c r="D137" s="506">
        <f>VLOOKUP(C130,overview_of_services!$B$2:$I$123,7,FALSE)</f>
        <v>0</v>
      </c>
      <c r="E137" s="499" t="s">
        <v>721</v>
      </c>
      <c r="F137" s="499" t="s">
        <v>721</v>
      </c>
      <c r="G137" s="499" t="s">
        <v>721</v>
      </c>
      <c r="H137" s="499" t="s">
        <v>721</v>
      </c>
      <c r="I137" s="499" t="s">
        <v>721</v>
      </c>
      <c r="J137" s="499" t="s">
        <v>721</v>
      </c>
      <c r="K137" s="499" t="s">
        <v>721</v>
      </c>
      <c r="L137" s="500" t="s">
        <v>721</v>
      </c>
      <c r="M137" s="500" t="s">
        <v>721</v>
      </c>
      <c r="N137" s="501" t="s">
        <v>721</v>
      </c>
      <c r="O137" s="529" t="s">
        <v>721</v>
      </c>
    </row>
    <row r="138" spans="3:66" ht="21" x14ac:dyDescent="0.5">
      <c r="C138" s="505" t="s">
        <v>710</v>
      </c>
      <c r="D138" s="506">
        <f>VLOOKUP(C130,overview_of_services!$B$2:$I$123,8,FALSE)</f>
        <v>0</v>
      </c>
      <c r="E138" s="507"/>
      <c r="F138" s="499"/>
      <c r="G138" s="507"/>
      <c r="H138" s="507"/>
      <c r="I138" s="499"/>
      <c r="J138" s="499"/>
      <c r="K138" s="499"/>
      <c r="L138" s="500" t="s">
        <v>721</v>
      </c>
      <c r="M138" s="500" t="s">
        <v>721</v>
      </c>
      <c r="N138" s="501" t="s">
        <v>721</v>
      </c>
      <c r="O138" s="529" t="s">
        <v>721</v>
      </c>
    </row>
    <row r="139" spans="3:66" ht="15" thickBot="1" x14ac:dyDescent="0.4">
      <c r="C139" s="504"/>
      <c r="D139" s="504"/>
      <c r="E139" s="508"/>
      <c r="F139" s="508"/>
      <c r="G139" s="508"/>
      <c r="H139" s="508"/>
      <c r="I139" s="508"/>
      <c r="J139" s="508"/>
      <c r="K139" s="508"/>
      <c r="L139" s="504"/>
      <c r="M139" s="504"/>
      <c r="N139" s="504"/>
      <c r="O139" s="504"/>
    </row>
    <row r="140" spans="3:66" ht="15" thickBot="1" x14ac:dyDescent="0.4">
      <c r="C140" s="509"/>
      <c r="D140" s="509" t="s">
        <v>712</v>
      </c>
      <c r="E140" s="511" t="s">
        <v>729</v>
      </c>
      <c r="F140" s="511" t="s">
        <v>729</v>
      </c>
      <c r="G140" s="511" t="s">
        <v>729</v>
      </c>
      <c r="H140" s="511" t="s">
        <v>729</v>
      </c>
      <c r="I140" s="511" t="s">
        <v>729</v>
      </c>
      <c r="J140" s="511" t="s">
        <v>729</v>
      </c>
      <c r="K140" s="511" t="s">
        <v>729</v>
      </c>
      <c r="L140" s="511" t="s">
        <v>729</v>
      </c>
      <c r="M140" s="511" t="s">
        <v>729</v>
      </c>
      <c r="N140" s="511" t="s">
        <v>729</v>
      </c>
      <c r="O140" s="513"/>
    </row>
    <row r="141" spans="3:66" ht="15" thickBot="1" x14ac:dyDescent="0.4">
      <c r="C141" s="509"/>
      <c r="D141" s="509" t="s">
        <v>714</v>
      </c>
      <c r="E141" s="510"/>
      <c r="F141" s="512"/>
      <c r="G141" s="511"/>
      <c r="H141" s="511"/>
      <c r="I141" s="511"/>
      <c r="J141" s="511"/>
      <c r="K141" s="511"/>
      <c r="L141" s="517"/>
      <c r="M141" s="518"/>
      <c r="N141" s="513"/>
      <c r="O141" s="513"/>
    </row>
    <row r="142" spans="3:66" ht="15" thickBot="1" x14ac:dyDescent="0.4"/>
    <row r="143" spans="3:66" ht="15" thickBot="1" x14ac:dyDescent="0.4">
      <c r="C143" s="483" t="s">
        <v>677</v>
      </c>
      <c r="D143" s="484" t="s">
        <v>678</v>
      </c>
      <c r="E143" s="481"/>
      <c r="F143" s="481"/>
      <c r="G143" s="482"/>
      <c r="H143" s="482"/>
      <c r="I143" s="482"/>
      <c r="J143" s="482"/>
      <c r="K143" s="482"/>
      <c r="L143" s="482"/>
      <c r="M143" s="482"/>
      <c r="N143" s="482"/>
      <c r="O143" s="481"/>
    </row>
    <row r="144" spans="3:66" ht="38.5" customHeight="1" thickBot="1" x14ac:dyDescent="0.4">
      <c r="C144" s="487" t="s">
        <v>1102</v>
      </c>
      <c r="D144" s="514" t="str">
        <f>VLOOKUP(C144,overview_of_services!$B$2:$I$123,3,FALSE)</f>
        <v>Reporting information regarding energy storage</v>
      </c>
      <c r="E144" s="489"/>
      <c r="F144" s="490" t="s">
        <v>680</v>
      </c>
      <c r="G144" s="578" t="str">
        <f>VLOOKUP(C144,overview_of_services!$B$2:$I$123,2,FALSE)</f>
        <v xml:space="preserve">Feedback - Reporting information </v>
      </c>
      <c r="H144" s="578"/>
      <c r="I144" s="490"/>
      <c r="J144" s="491"/>
      <c r="K144" s="491"/>
      <c r="L144" s="491"/>
      <c r="M144" s="491"/>
      <c r="N144" s="491"/>
      <c r="O144" s="492"/>
      <c r="P144" s="492"/>
      <c r="Q144" s="492"/>
      <c r="R144" s="492" t="s">
        <v>681</v>
      </c>
      <c r="S144" s="492">
        <f>ROW()</f>
        <v>144</v>
      </c>
      <c r="T144" s="492"/>
      <c r="U144" s="492"/>
      <c r="V144" s="492"/>
      <c r="W144" s="492"/>
      <c r="X144" s="492"/>
      <c r="Y144" s="492"/>
      <c r="Z144" s="492"/>
      <c r="AA144" s="492"/>
      <c r="AB144" s="492"/>
      <c r="AC144" s="492"/>
      <c r="AD144" s="492"/>
      <c r="AE144" s="492"/>
      <c r="AF144" s="492"/>
      <c r="AG144" s="492"/>
      <c r="AH144" s="492"/>
      <c r="AI144" s="492"/>
      <c r="AJ144" s="492"/>
      <c r="AK144" s="492"/>
      <c r="AL144" s="492"/>
      <c r="AM144" s="492"/>
      <c r="AN144" s="492"/>
      <c r="AO144" s="492"/>
      <c r="AP144" s="492"/>
      <c r="AQ144" s="492"/>
      <c r="AR144" s="492"/>
      <c r="AS144" s="492"/>
      <c r="AT144" s="492"/>
      <c r="AU144" s="492"/>
      <c r="AV144" s="492"/>
      <c r="AW144" s="492"/>
      <c r="AX144" s="492"/>
      <c r="AY144" s="492"/>
      <c r="AZ144" s="492"/>
      <c r="BA144" s="492"/>
      <c r="BB144" s="492"/>
      <c r="BC144" s="492"/>
      <c r="BD144" s="492"/>
      <c r="BE144" s="492"/>
      <c r="BF144" s="492"/>
      <c r="BG144" s="492"/>
      <c r="BH144" s="492"/>
      <c r="BI144" s="492"/>
      <c r="BJ144" s="492"/>
      <c r="BK144" s="492"/>
      <c r="BL144" s="492"/>
      <c r="BM144" s="492"/>
      <c r="BN144" s="492"/>
    </row>
    <row r="145" spans="3:30" x14ac:dyDescent="0.35">
      <c r="C145" s="493"/>
      <c r="D145" s="493"/>
      <c r="E145" s="493"/>
      <c r="F145" s="493"/>
      <c r="G145" s="493"/>
      <c r="H145" s="493"/>
      <c r="I145" s="493"/>
      <c r="J145" s="493"/>
      <c r="K145" s="493"/>
      <c r="L145" s="493"/>
      <c r="M145" s="493"/>
      <c r="N145" s="493"/>
      <c r="O145" s="493"/>
      <c r="P145" s="481"/>
    </row>
    <row r="146" spans="3:30" x14ac:dyDescent="0.35">
      <c r="C146" s="575" t="s">
        <v>682</v>
      </c>
      <c r="D146" s="575"/>
      <c r="E146" s="577" t="s">
        <v>683</v>
      </c>
      <c r="F146" s="577"/>
      <c r="G146" s="577"/>
      <c r="H146" s="577"/>
      <c r="I146" s="577"/>
      <c r="J146" s="577"/>
      <c r="K146" s="577"/>
      <c r="L146" s="573" t="s">
        <v>684</v>
      </c>
      <c r="M146" s="574"/>
      <c r="N146" s="569" t="s">
        <v>685</v>
      </c>
      <c r="O146" s="571" t="s">
        <v>686</v>
      </c>
      <c r="P146" s="481"/>
    </row>
    <row r="147" spans="3:30" ht="29.5" thickBot="1" x14ac:dyDescent="0.4">
      <c r="C147" s="576"/>
      <c r="D147" s="576"/>
      <c r="E147" s="495" t="s">
        <v>687</v>
      </c>
      <c r="F147" s="495" t="s">
        <v>688</v>
      </c>
      <c r="G147" s="495" t="s">
        <v>689</v>
      </c>
      <c r="H147" s="495" t="s">
        <v>690</v>
      </c>
      <c r="I147" s="495" t="s">
        <v>616</v>
      </c>
      <c r="J147" s="495" t="s">
        <v>691</v>
      </c>
      <c r="K147" s="495" t="s">
        <v>692</v>
      </c>
      <c r="L147" s="496" t="s">
        <v>693</v>
      </c>
      <c r="M147" s="496" t="s">
        <v>694</v>
      </c>
      <c r="N147" s="570"/>
      <c r="O147" s="572"/>
      <c r="P147" s="481"/>
    </row>
    <row r="148" spans="3:30" ht="21.5" thickTop="1" x14ac:dyDescent="0.35">
      <c r="C148" s="497" t="s">
        <v>695</v>
      </c>
      <c r="D148" s="498" t="str">
        <f>VLOOKUP(C144,overview_of_services!$B$2:$I$123,4,FALSE)</f>
        <v>None</v>
      </c>
      <c r="E148" s="533">
        <v>0</v>
      </c>
      <c r="F148" s="533">
        <v>0</v>
      </c>
      <c r="G148" s="533">
        <v>0</v>
      </c>
      <c r="H148" s="533">
        <v>0</v>
      </c>
      <c r="I148" s="533">
        <v>0</v>
      </c>
      <c r="J148" s="533">
        <v>0</v>
      </c>
      <c r="K148" s="533">
        <v>0</v>
      </c>
      <c r="L148" s="530" t="s">
        <v>696</v>
      </c>
      <c r="M148" s="530" t="s">
        <v>696</v>
      </c>
      <c r="N148" s="531">
        <v>0</v>
      </c>
      <c r="O148" s="532" t="s">
        <v>721</v>
      </c>
      <c r="P148" s="504"/>
      <c r="Q148" s="503"/>
      <c r="R148" s="504">
        <f t="shared" ref="R148:R152" si="11">IF(E148=0,0,(IF(E148="+",1,(IF(E148="++",2,(IF(E148="+++",3,(IF(E148="++++",4,(IF(E148="-",-1,(IF(E148="--",-2,(IF(E148="---",-3,(IF(E148="----",-4,"NA")))))))))))))))))</f>
        <v>0</v>
      </c>
      <c r="S148" s="504">
        <f t="shared" ref="S148:S152" si="12">IF(F148=0,0,(IF(F148="+",1,(IF(F148="++",2,(IF(F148="+++",3,(IF(F148="++++",4,(IF(F148="-",-1,(IF(F148="--",-2,(IF(F148="---",-3,(IF(F148="----",-4,"NA")))))))))))))))))</f>
        <v>0</v>
      </c>
      <c r="T148" s="504">
        <f t="shared" ref="T148:T152" si="13">IF(G148=0,0,(IF(G148="+",1,(IF(G148="++",2,(IF(G148="+++",3,(IF(G148="++++",4,(IF(G148="-",-1,(IF(G148="--",-2,(IF(G148="---",-3,(IF(G148="----",-4,"NA")))))))))))))))))</f>
        <v>0</v>
      </c>
      <c r="U148" s="504">
        <f t="shared" ref="U148:U152" si="14">IF(H148=0,0,(IF(H148="+",1,(IF(H148="++",2,(IF(H148="+++",3,(IF(H148="++++",4,(IF(H148="-",-1,(IF(H148="--",-2,(IF(H148="---",-3,(IF(H148="----",-4,"NA")))))))))))))))))</f>
        <v>0</v>
      </c>
      <c r="V148" s="504">
        <f t="shared" ref="V148:V152" si="15">IF(I148=0,0,(IF(I148="+",1,(IF(I148="++",2,(IF(I148="+++",3,(IF(I148="++++",4,(IF(I148="-",-1,(IF(I148="--",-2,(IF(I148="---",-3,(IF(I148="----",-4,"NA")))))))))))))))))</f>
        <v>0</v>
      </c>
      <c r="W148" s="504">
        <f t="shared" ref="W148:W152" si="16">IF(J148=0,0,(IF(J148="+",1,(IF(J148="++",2,(IF(J148="+++",3,(IF(J148="++++",4,(IF(J148="-",-1,(IF(J148="--",-2,(IF(J148="---",-3,(IF(J148="----",-4,"NA")))))))))))))))))</f>
        <v>0</v>
      </c>
      <c r="X148" s="504">
        <f t="shared" ref="X148:X152" si="17">IF(K148=0,0,(IF(K148="+",1,(IF(K148="++",2,(IF(K148="+++",3,(IF(K148="++++",4,(IF(K148="-",-1,(IF(K148="--",-2,(IF(K148="---",-3,(IF(K148="----",-4,"NA")))))))))))))))))</f>
        <v>0</v>
      </c>
      <c r="Y148" s="503"/>
      <c r="Z148" s="503"/>
      <c r="AA148" s="503"/>
      <c r="AB148" s="503"/>
      <c r="AC148" s="503"/>
      <c r="AD148" s="503"/>
    </row>
    <row r="149" spans="3:30" ht="21" x14ac:dyDescent="0.35">
      <c r="C149" s="505" t="s">
        <v>699</v>
      </c>
      <c r="D149" s="506" t="str">
        <f>VLOOKUP(C144,overview_of_services!$B$2:$I$123,5,FALSE)</f>
        <v>Current state of charge (SOC) data available</v>
      </c>
      <c r="E149" s="534" t="s">
        <v>700</v>
      </c>
      <c r="F149" s="533">
        <v>0</v>
      </c>
      <c r="G149" s="533">
        <v>0</v>
      </c>
      <c r="H149" s="533">
        <v>0</v>
      </c>
      <c r="I149" s="533">
        <v>0</v>
      </c>
      <c r="J149" s="534" t="s">
        <v>700</v>
      </c>
      <c r="K149" s="534" t="s">
        <v>700</v>
      </c>
      <c r="L149" s="530">
        <v>0</v>
      </c>
      <c r="M149" s="530" t="s">
        <v>704</v>
      </c>
      <c r="N149" s="531" t="s">
        <v>793</v>
      </c>
      <c r="O149" s="532" t="s">
        <v>721</v>
      </c>
      <c r="P149" s="504"/>
      <c r="Q149" s="503"/>
      <c r="R149" s="504">
        <f t="shared" si="11"/>
        <v>1</v>
      </c>
      <c r="S149" s="504">
        <f t="shared" si="12"/>
        <v>0</v>
      </c>
      <c r="T149" s="504">
        <f t="shared" si="13"/>
        <v>0</v>
      </c>
      <c r="U149" s="504">
        <f t="shared" si="14"/>
        <v>0</v>
      </c>
      <c r="V149" s="504">
        <f t="shared" si="15"/>
        <v>0</v>
      </c>
      <c r="W149" s="504">
        <f t="shared" si="16"/>
        <v>1</v>
      </c>
      <c r="X149" s="504">
        <f t="shared" si="17"/>
        <v>1</v>
      </c>
      <c r="Y149" s="503"/>
      <c r="Z149" s="503"/>
      <c r="AA149" s="503"/>
      <c r="AB149" s="503"/>
      <c r="AC149" s="503"/>
      <c r="AD149" s="503"/>
    </row>
    <row r="150" spans="3:30" ht="21" x14ac:dyDescent="0.35">
      <c r="C150" s="505" t="s">
        <v>703</v>
      </c>
      <c r="D150" s="506" t="str">
        <f>VLOOKUP(C144,overview_of_services!$B$2:$I$123,6,FALSE)</f>
        <v>Actual values and historical data</v>
      </c>
      <c r="E150" s="533" t="s">
        <v>700</v>
      </c>
      <c r="F150" s="533">
        <v>0</v>
      </c>
      <c r="G150" s="533">
        <v>0</v>
      </c>
      <c r="H150" s="533">
        <v>0</v>
      </c>
      <c r="I150" s="533">
        <v>0</v>
      </c>
      <c r="J150" s="534" t="s">
        <v>700</v>
      </c>
      <c r="K150" s="534" t="s">
        <v>704</v>
      </c>
      <c r="L150" s="530" t="s">
        <v>700</v>
      </c>
      <c r="M150" s="530" t="s">
        <v>704</v>
      </c>
      <c r="N150" s="531" t="s">
        <v>791</v>
      </c>
      <c r="O150" s="532" t="s">
        <v>721</v>
      </c>
      <c r="P150" s="504"/>
      <c r="Q150" s="503"/>
      <c r="R150" s="504">
        <f t="shared" si="11"/>
        <v>1</v>
      </c>
      <c r="S150" s="504">
        <f t="shared" si="12"/>
        <v>0</v>
      </c>
      <c r="T150" s="504">
        <f t="shared" si="13"/>
        <v>0</v>
      </c>
      <c r="U150" s="504">
        <f t="shared" si="14"/>
        <v>0</v>
      </c>
      <c r="V150" s="504">
        <f t="shared" si="15"/>
        <v>0</v>
      </c>
      <c r="W150" s="504">
        <f t="shared" si="16"/>
        <v>1</v>
      </c>
      <c r="X150" s="504">
        <f t="shared" si="17"/>
        <v>2</v>
      </c>
      <c r="Y150" s="503"/>
      <c r="Z150" s="503"/>
      <c r="AA150" s="503"/>
      <c r="AB150" s="503"/>
      <c r="AC150" s="503"/>
      <c r="AD150" s="503"/>
    </row>
    <row r="151" spans="3:30" ht="32.5" customHeight="1" x14ac:dyDescent="0.35">
      <c r="C151" s="505" t="s">
        <v>706</v>
      </c>
      <c r="D151" s="506" t="str">
        <f>VLOOKUP(C144,overview_of_services!$B$2:$I$123,7,FALSE)</f>
        <v>Performance evaluation including forecasting and/or benchmarking</v>
      </c>
      <c r="E151" s="534" t="s">
        <v>700</v>
      </c>
      <c r="F151" s="533">
        <v>0</v>
      </c>
      <c r="G151" s="533">
        <v>0</v>
      </c>
      <c r="H151" s="533">
        <v>0</v>
      </c>
      <c r="I151" s="533">
        <v>0</v>
      </c>
      <c r="J151" s="534" t="s">
        <v>700</v>
      </c>
      <c r="K151" s="534" t="s">
        <v>707</v>
      </c>
      <c r="L151" s="530">
        <v>0</v>
      </c>
      <c r="M151" s="530" t="s">
        <v>704</v>
      </c>
      <c r="N151" s="531" t="s">
        <v>794</v>
      </c>
      <c r="O151" s="532" t="s">
        <v>721</v>
      </c>
      <c r="P151" s="504"/>
      <c r="Q151" s="503"/>
      <c r="R151" s="504">
        <f t="shared" si="11"/>
        <v>1</v>
      </c>
      <c r="S151" s="504">
        <f t="shared" si="12"/>
        <v>0</v>
      </c>
      <c r="T151" s="504">
        <f t="shared" si="13"/>
        <v>0</v>
      </c>
      <c r="U151" s="504">
        <f t="shared" si="14"/>
        <v>0</v>
      </c>
      <c r="V151" s="504">
        <f t="shared" si="15"/>
        <v>0</v>
      </c>
      <c r="W151" s="504">
        <f t="shared" si="16"/>
        <v>1</v>
      </c>
      <c r="X151" s="504">
        <f t="shared" si="17"/>
        <v>3</v>
      </c>
      <c r="Y151" s="503"/>
      <c r="Z151" s="503"/>
      <c r="AA151" s="503"/>
      <c r="AB151" s="503"/>
      <c r="AC151" s="503"/>
      <c r="AD151" s="503"/>
    </row>
    <row r="152" spans="3:30" ht="48" customHeight="1" x14ac:dyDescent="0.35">
      <c r="C152" s="505" t="s">
        <v>710</v>
      </c>
      <c r="D152" s="506" t="str">
        <f>VLOOKUP(C144,overview_of_services!$B$2:$I$123,8,FALSE)</f>
        <v>Performance evaluation including forecasting and/or benchmarking; also including predictive management and fault detection</v>
      </c>
      <c r="E152" s="534" t="s">
        <v>700</v>
      </c>
      <c r="F152" s="533">
        <v>0</v>
      </c>
      <c r="G152" s="533">
        <v>0</v>
      </c>
      <c r="H152" s="533" t="s">
        <v>700</v>
      </c>
      <c r="I152" s="533">
        <v>0</v>
      </c>
      <c r="J152" s="534" t="s">
        <v>704</v>
      </c>
      <c r="K152" s="534" t="s">
        <v>707</v>
      </c>
      <c r="L152" s="500" t="s">
        <v>721</v>
      </c>
      <c r="M152" s="500" t="s">
        <v>721</v>
      </c>
      <c r="N152" s="501">
        <v>4</v>
      </c>
      <c r="O152" s="529" t="s">
        <v>721</v>
      </c>
      <c r="P152" s="504"/>
      <c r="Q152" s="503"/>
      <c r="R152" s="504">
        <f t="shared" si="11"/>
        <v>1</v>
      </c>
      <c r="S152" s="504">
        <f t="shared" si="12"/>
        <v>0</v>
      </c>
      <c r="T152" s="504">
        <f t="shared" si="13"/>
        <v>0</v>
      </c>
      <c r="U152" s="504">
        <f t="shared" si="14"/>
        <v>1</v>
      </c>
      <c r="V152" s="504">
        <f t="shared" si="15"/>
        <v>0</v>
      </c>
      <c r="W152" s="504">
        <f t="shared" si="16"/>
        <v>2</v>
      </c>
      <c r="X152" s="504">
        <f t="shared" si="17"/>
        <v>3</v>
      </c>
      <c r="Y152" s="503"/>
      <c r="Z152" s="503"/>
      <c r="AA152" s="503"/>
      <c r="AB152" s="503"/>
      <c r="AC152" s="503"/>
      <c r="AD152" s="503"/>
    </row>
    <row r="153" spans="3:30" ht="15" thickBot="1" x14ac:dyDescent="0.4">
      <c r="C153" s="504"/>
      <c r="D153" s="504"/>
      <c r="E153" s="508"/>
      <c r="F153" s="508"/>
      <c r="G153" s="508"/>
      <c r="H153" s="508"/>
      <c r="I153" s="508"/>
      <c r="J153" s="508"/>
      <c r="K153" s="508"/>
      <c r="L153" s="504"/>
      <c r="M153" s="504"/>
      <c r="N153" s="504"/>
      <c r="O153" s="504"/>
      <c r="P153" s="504"/>
      <c r="Q153" s="503"/>
      <c r="R153" s="503"/>
      <c r="S153" s="503"/>
      <c r="T153" s="503"/>
      <c r="U153" s="503"/>
      <c r="V153" s="503"/>
      <c r="W153" s="503"/>
      <c r="X153" s="503"/>
      <c r="Y153" s="503"/>
      <c r="Z153" s="503"/>
      <c r="AA153" s="503"/>
      <c r="AB153" s="503"/>
      <c r="AC153" s="503"/>
      <c r="AD153" s="503"/>
    </row>
    <row r="154" spans="3:30" ht="15" thickBot="1" x14ac:dyDescent="0.4">
      <c r="C154" s="509"/>
      <c r="D154" s="509" t="s">
        <v>712</v>
      </c>
      <c r="E154" s="511" t="s">
        <v>729</v>
      </c>
      <c r="F154" s="511" t="s">
        <v>729</v>
      </c>
      <c r="G154" s="511" t="s">
        <v>729</v>
      </c>
      <c r="H154" s="511" t="s">
        <v>729</v>
      </c>
      <c r="I154" s="511" t="s">
        <v>729</v>
      </c>
      <c r="J154" s="511" t="s">
        <v>729</v>
      </c>
      <c r="K154" s="511" t="s">
        <v>729</v>
      </c>
      <c r="L154" s="511" t="s">
        <v>729</v>
      </c>
      <c r="M154" s="511" t="s">
        <v>729</v>
      </c>
      <c r="N154" s="511" t="s">
        <v>729</v>
      </c>
      <c r="O154" s="513"/>
      <c r="P154" s="504"/>
      <c r="Q154" s="503"/>
      <c r="R154" s="503"/>
      <c r="S154" s="503"/>
      <c r="T154" s="503"/>
      <c r="U154" s="503"/>
      <c r="V154" s="503"/>
      <c r="W154" s="503"/>
      <c r="X154" s="503"/>
      <c r="Y154" s="503"/>
      <c r="Z154" s="503"/>
      <c r="AA154" s="503"/>
      <c r="AB154" s="503"/>
      <c r="AC154" s="503"/>
      <c r="AD154" s="503"/>
    </row>
    <row r="155" spans="3:30" ht="15" thickBot="1" x14ac:dyDescent="0.4">
      <c r="C155" s="509"/>
      <c r="D155" s="509" t="s">
        <v>714</v>
      </c>
      <c r="E155" s="510"/>
      <c r="F155" s="512"/>
      <c r="G155" s="511"/>
      <c r="H155" s="511"/>
      <c r="I155" s="511"/>
      <c r="J155" s="511"/>
      <c r="K155" s="511"/>
      <c r="L155" s="517"/>
      <c r="M155" s="518"/>
      <c r="N155" s="513"/>
      <c r="O155" s="513"/>
      <c r="P155" s="504"/>
      <c r="Q155" s="503"/>
      <c r="R155" s="503"/>
      <c r="S155" s="503"/>
      <c r="T155" s="503"/>
      <c r="U155" s="503"/>
      <c r="V155" s="503"/>
      <c r="W155" s="503"/>
      <c r="X155" s="503"/>
      <c r="Y155" s="503"/>
      <c r="Z155" s="503"/>
      <c r="AA155" s="503"/>
      <c r="AB155" s="503"/>
      <c r="AC155" s="503"/>
      <c r="AD155" s="503"/>
    </row>
  </sheetData>
  <sheetProtection algorithmName="SHA-512" hashValue="Cs0ymFqMT68BNPdph7gOb5G8dUXl9e2827w4+02phS1Wb4ClTNrzNcwFzc1d32d1yK7YfjQb+PiUk/Zc9Rxwcg==" saltValue="ZFQ5EBuyZaWo5sM5yirrVw==" spinCount="100000" sheet="1" objects="1" scenarios="1"/>
  <mergeCells count="66">
    <mergeCell ref="L62:M62"/>
    <mergeCell ref="N62:N63"/>
    <mergeCell ref="O62:O63"/>
    <mergeCell ref="G32:H32"/>
    <mergeCell ref="G46:H46"/>
    <mergeCell ref="L34:M34"/>
    <mergeCell ref="O34:O35"/>
    <mergeCell ref="O48:O49"/>
    <mergeCell ref="N34:N35"/>
    <mergeCell ref="L48:M48"/>
    <mergeCell ref="N48:N49"/>
    <mergeCell ref="G60:H60"/>
    <mergeCell ref="C62:D63"/>
    <mergeCell ref="E62:K62"/>
    <mergeCell ref="C6:D7"/>
    <mergeCell ref="E6:K6"/>
    <mergeCell ref="C34:D35"/>
    <mergeCell ref="E34:K34"/>
    <mergeCell ref="C20:D21"/>
    <mergeCell ref="C48:D49"/>
    <mergeCell ref="E48:K48"/>
    <mergeCell ref="L6:M6"/>
    <mergeCell ref="G4:H4"/>
    <mergeCell ref="O20:O21"/>
    <mergeCell ref="N6:N7"/>
    <mergeCell ref="E20:K20"/>
    <mergeCell ref="L20:M20"/>
    <mergeCell ref="N20:N21"/>
    <mergeCell ref="O6:O7"/>
    <mergeCell ref="G18:H18"/>
    <mergeCell ref="G74:H74"/>
    <mergeCell ref="C76:D77"/>
    <mergeCell ref="E76:K76"/>
    <mergeCell ref="L76:M76"/>
    <mergeCell ref="N76:N77"/>
    <mergeCell ref="O76:O77"/>
    <mergeCell ref="G88:H88"/>
    <mergeCell ref="C90:D91"/>
    <mergeCell ref="E90:K90"/>
    <mergeCell ref="L90:M90"/>
    <mergeCell ref="N90:N91"/>
    <mergeCell ref="O90:O91"/>
    <mergeCell ref="G102:H102"/>
    <mergeCell ref="C104:D105"/>
    <mergeCell ref="E104:K104"/>
    <mergeCell ref="L104:M104"/>
    <mergeCell ref="N104:N105"/>
    <mergeCell ref="O104:O105"/>
    <mergeCell ref="G116:H116"/>
    <mergeCell ref="C118:D119"/>
    <mergeCell ref="E118:K118"/>
    <mergeCell ref="L118:M118"/>
    <mergeCell ref="N118:N119"/>
    <mergeCell ref="O118:O119"/>
    <mergeCell ref="O132:O133"/>
    <mergeCell ref="G130:H130"/>
    <mergeCell ref="C132:D133"/>
    <mergeCell ref="E132:K132"/>
    <mergeCell ref="L132:M132"/>
    <mergeCell ref="N132:N133"/>
    <mergeCell ref="O146:O147"/>
    <mergeCell ref="G144:H144"/>
    <mergeCell ref="C146:D147"/>
    <mergeCell ref="E146:K146"/>
    <mergeCell ref="L146:M146"/>
    <mergeCell ref="N146:N147"/>
  </mergeCells>
  <conditionalFormatting sqref="C8:C12 E8:O12 E36:K40 E50:K50 E53:K54 E22:K26 E67:K68 E64:K64">
    <cfRule type="expression" dxfId="492" priority="129">
      <formula>$D8=0</formula>
    </cfRule>
  </conditionalFormatting>
  <conditionalFormatting sqref="B4">
    <cfRule type="expression" dxfId="491" priority="136">
      <formula>E4="yes"</formula>
    </cfRule>
  </conditionalFormatting>
  <conditionalFormatting sqref="B18">
    <cfRule type="expression" dxfId="490" priority="134">
      <formula>E18="yes"</formula>
    </cfRule>
  </conditionalFormatting>
  <conditionalFormatting sqref="B32">
    <cfRule type="expression" dxfId="489" priority="132">
      <formula>E32="yes"</formula>
    </cfRule>
  </conditionalFormatting>
  <conditionalFormatting sqref="B46">
    <cfRule type="expression" dxfId="488" priority="130">
      <formula>E46="yes"</formula>
    </cfRule>
  </conditionalFormatting>
  <conditionalFormatting sqref="C12">
    <cfRule type="expression" dxfId="487" priority="128">
      <formula>$D12=0</formula>
    </cfRule>
  </conditionalFormatting>
  <conditionalFormatting sqref="C22:C26">
    <cfRule type="expression" dxfId="486" priority="126">
      <formula>$D22=0</formula>
    </cfRule>
  </conditionalFormatting>
  <conditionalFormatting sqref="C26">
    <cfRule type="expression" dxfId="485" priority="125">
      <formula>$D26=0</formula>
    </cfRule>
  </conditionalFormatting>
  <conditionalFormatting sqref="C36:C40">
    <cfRule type="expression" dxfId="484" priority="123">
      <formula>$D36=0</formula>
    </cfRule>
  </conditionalFormatting>
  <conditionalFormatting sqref="C40">
    <cfRule type="expression" dxfId="483" priority="122">
      <formula>$D40=0</formula>
    </cfRule>
  </conditionalFormatting>
  <conditionalFormatting sqref="C50:C54 E52 E51:F51 H51:K52">
    <cfRule type="expression" dxfId="482" priority="120">
      <formula>$D50=0</formula>
    </cfRule>
  </conditionalFormatting>
  <conditionalFormatting sqref="C54">
    <cfRule type="expression" dxfId="481" priority="119">
      <formula>$D54=0</formula>
    </cfRule>
  </conditionalFormatting>
  <conditionalFormatting sqref="L22:O26">
    <cfRule type="expression" dxfId="480" priority="117">
      <formula>$D22=0</formula>
    </cfRule>
  </conditionalFormatting>
  <conditionalFormatting sqref="L36:O40">
    <cfRule type="expression" dxfId="479" priority="116">
      <formula>$D36=0</formula>
    </cfRule>
  </conditionalFormatting>
  <conditionalFormatting sqref="L50:O54">
    <cfRule type="expression" dxfId="478" priority="115">
      <formula>$D50=0</formula>
    </cfRule>
  </conditionalFormatting>
  <conditionalFormatting sqref="D8:D12">
    <cfRule type="expression" dxfId="477" priority="114">
      <formula>$D8=0</formula>
    </cfRule>
  </conditionalFormatting>
  <conditionalFormatting sqref="D12">
    <cfRule type="expression" dxfId="476" priority="113">
      <formula>$D12=0</formula>
    </cfRule>
  </conditionalFormatting>
  <conditionalFormatting sqref="D22:D26">
    <cfRule type="expression" dxfId="475" priority="112">
      <formula>$D22=0</formula>
    </cfRule>
  </conditionalFormatting>
  <conditionalFormatting sqref="D26">
    <cfRule type="expression" dxfId="474" priority="111">
      <formula>$D26=0</formula>
    </cfRule>
  </conditionalFormatting>
  <conditionalFormatting sqref="D36:D40">
    <cfRule type="expression" dxfId="473" priority="110">
      <formula>$D36=0</formula>
    </cfRule>
  </conditionalFormatting>
  <conditionalFormatting sqref="D40">
    <cfRule type="expression" dxfId="472" priority="109">
      <formula>$D40=0</formula>
    </cfRule>
  </conditionalFormatting>
  <conditionalFormatting sqref="D50:D54">
    <cfRule type="expression" dxfId="471" priority="108">
      <formula>$D50=0</formula>
    </cfRule>
  </conditionalFormatting>
  <conditionalFormatting sqref="D54">
    <cfRule type="expression" dxfId="470" priority="107">
      <formula>$D54=0</formula>
    </cfRule>
  </conditionalFormatting>
  <conditionalFormatting sqref="F52">
    <cfRule type="expression" dxfId="469" priority="105">
      <formula>$D52=0</formula>
    </cfRule>
  </conditionalFormatting>
  <conditionalFormatting sqref="G51:G52">
    <cfRule type="expression" dxfId="468" priority="103">
      <formula>$D51=0</formula>
    </cfRule>
  </conditionalFormatting>
  <conditionalFormatting sqref="B60">
    <cfRule type="expression" dxfId="467" priority="102">
      <formula>E60="yes"</formula>
    </cfRule>
  </conditionalFormatting>
  <conditionalFormatting sqref="C64:C68 H66:K66 E65:E66 G65:K65">
    <cfRule type="expression" dxfId="466" priority="101">
      <formula>$D64=0</formula>
    </cfRule>
  </conditionalFormatting>
  <conditionalFormatting sqref="C68">
    <cfRule type="expression" dxfId="465" priority="100">
      <formula>$D68=0</formula>
    </cfRule>
  </conditionalFormatting>
  <conditionalFormatting sqref="L64:O68">
    <cfRule type="expression" dxfId="464" priority="99">
      <formula>$D64=0</formula>
    </cfRule>
  </conditionalFormatting>
  <conditionalFormatting sqref="D64:D68">
    <cfRule type="expression" dxfId="463" priority="98">
      <formula>$D64=0</formula>
    </cfRule>
  </conditionalFormatting>
  <conditionalFormatting sqref="D68">
    <cfRule type="expression" dxfId="462" priority="97">
      <formula>$D68=0</formula>
    </cfRule>
  </conditionalFormatting>
  <conditionalFormatting sqref="F66">
    <cfRule type="expression" dxfId="461" priority="96">
      <formula>$D66=0</formula>
    </cfRule>
  </conditionalFormatting>
  <conditionalFormatting sqref="G66">
    <cfRule type="expression" dxfId="460" priority="94">
      <formula>$D66=0</formula>
    </cfRule>
  </conditionalFormatting>
  <conditionalFormatting sqref="F65">
    <cfRule type="expression" dxfId="459" priority="93">
      <formula>$D65=0</formula>
    </cfRule>
  </conditionalFormatting>
  <conditionalFormatting sqref="G107">
    <cfRule type="expression" dxfId="458" priority="49">
      <formula>$D107=0</formula>
    </cfRule>
  </conditionalFormatting>
  <conditionalFormatting sqref="C78:C82">
    <cfRule type="expression" dxfId="457" priority="90">
      <formula>$D78=0</formula>
    </cfRule>
  </conditionalFormatting>
  <conditionalFormatting sqref="C82">
    <cfRule type="expression" dxfId="456" priority="89">
      <formula>$D82=0</formula>
    </cfRule>
  </conditionalFormatting>
  <conditionalFormatting sqref="O78:O82">
    <cfRule type="expression" dxfId="455" priority="88">
      <formula>$D78=0</formula>
    </cfRule>
  </conditionalFormatting>
  <conditionalFormatting sqref="D78:D82">
    <cfRule type="expression" dxfId="454" priority="87">
      <formula>$D78=0</formula>
    </cfRule>
  </conditionalFormatting>
  <conditionalFormatting sqref="D82">
    <cfRule type="expression" dxfId="453" priority="86">
      <formula>$D82=0</formula>
    </cfRule>
  </conditionalFormatting>
  <conditionalFormatting sqref="O120:O124">
    <cfRule type="expression" dxfId="452" priority="43">
      <formula>$D120=0</formula>
    </cfRule>
  </conditionalFormatting>
  <conditionalFormatting sqref="D120:D124">
    <cfRule type="expression" dxfId="451" priority="42">
      <formula>$D120=0</formula>
    </cfRule>
  </conditionalFormatting>
  <conditionalFormatting sqref="D124">
    <cfRule type="expression" dxfId="450" priority="41">
      <formula>$D124=0</formula>
    </cfRule>
  </conditionalFormatting>
  <conditionalFormatting sqref="C92:C96">
    <cfRule type="expression" dxfId="449" priority="81">
      <formula>$D92=0</formula>
    </cfRule>
  </conditionalFormatting>
  <conditionalFormatting sqref="C96">
    <cfRule type="expression" dxfId="448" priority="80">
      <formula>$D96=0</formula>
    </cfRule>
  </conditionalFormatting>
  <conditionalFormatting sqref="O92:O96">
    <cfRule type="expression" dxfId="447" priority="79">
      <formula>$D92=0</formula>
    </cfRule>
  </conditionalFormatting>
  <conditionalFormatting sqref="D92:D96">
    <cfRule type="expression" dxfId="446" priority="78">
      <formula>$D92=0</formula>
    </cfRule>
  </conditionalFormatting>
  <conditionalFormatting sqref="D96">
    <cfRule type="expression" dxfId="445" priority="77">
      <formula>$D96=0</formula>
    </cfRule>
  </conditionalFormatting>
  <conditionalFormatting sqref="C106:C110">
    <cfRule type="expression" dxfId="444" priority="72">
      <formula>$D106=0</formula>
    </cfRule>
  </conditionalFormatting>
  <conditionalFormatting sqref="C110">
    <cfRule type="expression" dxfId="443" priority="71">
      <formula>$D110=0</formula>
    </cfRule>
  </conditionalFormatting>
  <conditionalFormatting sqref="O106:O110">
    <cfRule type="expression" dxfId="442" priority="70">
      <formula>$D106=0</formula>
    </cfRule>
  </conditionalFormatting>
  <conditionalFormatting sqref="D106:D110">
    <cfRule type="expression" dxfId="441" priority="69">
      <formula>$D106=0</formula>
    </cfRule>
  </conditionalFormatting>
  <conditionalFormatting sqref="D110">
    <cfRule type="expression" dxfId="440" priority="68">
      <formula>$D110=0</formula>
    </cfRule>
  </conditionalFormatting>
  <conditionalFormatting sqref="E78:N82">
    <cfRule type="expression" dxfId="439" priority="64">
      <formula>$D78=0</formula>
    </cfRule>
  </conditionalFormatting>
  <conditionalFormatting sqref="E92:K92 E96:J96">
    <cfRule type="expression" dxfId="438" priority="63">
      <formula>$D92=0</formula>
    </cfRule>
  </conditionalFormatting>
  <conditionalFormatting sqref="E93:F95 I93:J95">
    <cfRule type="expression" dxfId="437" priority="62">
      <formula>$D93=0</formula>
    </cfRule>
  </conditionalFormatting>
  <conditionalFormatting sqref="L92:N96">
    <cfRule type="expression" dxfId="436" priority="61">
      <formula>$D92=0</formula>
    </cfRule>
  </conditionalFormatting>
  <conditionalFormatting sqref="K93">
    <cfRule type="expression" dxfId="435" priority="60">
      <formula>$D93=0</formula>
    </cfRule>
  </conditionalFormatting>
  <conditionalFormatting sqref="K95:K96">
    <cfRule type="expression" dxfId="434" priority="59">
      <formula>$D95=0</formula>
    </cfRule>
  </conditionalFormatting>
  <conditionalFormatting sqref="K94">
    <cfRule type="expression" dxfId="433" priority="58">
      <formula>$D94=0</formula>
    </cfRule>
  </conditionalFormatting>
  <conditionalFormatting sqref="G93:H95">
    <cfRule type="expression" dxfId="432" priority="57">
      <formula>$D93=0</formula>
    </cfRule>
  </conditionalFormatting>
  <conditionalFormatting sqref="E106:K106 E109:K110">
    <cfRule type="expression" dxfId="431" priority="56">
      <formula>$D106=0</formula>
    </cfRule>
  </conditionalFormatting>
  <conditionalFormatting sqref="F107:F108">
    <cfRule type="expression" dxfId="430" priority="55">
      <formula>$D107=0</formula>
    </cfRule>
  </conditionalFormatting>
  <conditionalFormatting sqref="L106:N110">
    <cfRule type="expression" dxfId="429" priority="54">
      <formula>$D106=0</formula>
    </cfRule>
  </conditionalFormatting>
  <conditionalFormatting sqref="H107:H108">
    <cfRule type="expression" dxfId="428" priority="53">
      <formula>$D107=0</formula>
    </cfRule>
  </conditionalFormatting>
  <conditionalFormatting sqref="K107:K108">
    <cfRule type="expression" dxfId="427" priority="52">
      <formula>$D107=0</formula>
    </cfRule>
  </conditionalFormatting>
  <conditionalFormatting sqref="E107">
    <cfRule type="expression" dxfId="426" priority="51">
      <formula>$D107=0</formula>
    </cfRule>
  </conditionalFormatting>
  <conditionalFormatting sqref="E108">
    <cfRule type="expression" dxfId="425" priority="50">
      <formula>$D108=0</formula>
    </cfRule>
  </conditionalFormatting>
  <conditionalFormatting sqref="G108">
    <cfRule type="expression" dxfId="424" priority="48">
      <formula>$D108=0</formula>
    </cfRule>
  </conditionalFormatting>
  <conditionalFormatting sqref="I107:I108">
    <cfRule type="expression" dxfId="423" priority="47">
      <formula>$D107=0</formula>
    </cfRule>
  </conditionalFormatting>
  <conditionalFormatting sqref="J107:J108">
    <cfRule type="expression" dxfId="422" priority="46">
      <formula>$D107=0</formula>
    </cfRule>
  </conditionalFormatting>
  <conditionalFormatting sqref="C120:C124">
    <cfRule type="expression" dxfId="421" priority="45">
      <formula>$D120=0</formula>
    </cfRule>
  </conditionalFormatting>
  <conditionalFormatting sqref="C124">
    <cfRule type="expression" dxfId="420" priority="44">
      <formula>$D124=0</formula>
    </cfRule>
  </conditionalFormatting>
  <conditionalFormatting sqref="E120:K120">
    <cfRule type="expression" dxfId="419" priority="29">
      <formula>$D120=0</formula>
    </cfRule>
  </conditionalFormatting>
  <conditionalFormatting sqref="E121:F124 H121:J124">
    <cfRule type="expression" dxfId="418" priority="28">
      <formula>$D121=0</formula>
    </cfRule>
  </conditionalFormatting>
  <conditionalFormatting sqref="L120:N124">
    <cfRule type="expression" dxfId="417" priority="27">
      <formula>$D120=0</formula>
    </cfRule>
  </conditionalFormatting>
  <conditionalFormatting sqref="K121:K122">
    <cfRule type="expression" dxfId="416" priority="26">
      <formula>$D121=0</formula>
    </cfRule>
  </conditionalFormatting>
  <conditionalFormatting sqref="K123:K124">
    <cfRule type="expression" dxfId="415" priority="25">
      <formula>$D123=0</formula>
    </cfRule>
  </conditionalFormatting>
  <conditionalFormatting sqref="G121:G122">
    <cfRule type="expression" dxfId="414" priority="24">
      <formula>$D121=0</formula>
    </cfRule>
  </conditionalFormatting>
  <conditionalFormatting sqref="G123:G124">
    <cfRule type="expression" dxfId="413" priority="23">
      <formula>$D123=0</formula>
    </cfRule>
  </conditionalFormatting>
  <conditionalFormatting sqref="K135:K136">
    <cfRule type="expression" dxfId="412" priority="15">
      <formula>$D135=0</formula>
    </cfRule>
  </conditionalFormatting>
  <conditionalFormatting sqref="J135:J136">
    <cfRule type="expression" dxfId="411" priority="14">
      <formula>$D135=0</formula>
    </cfRule>
  </conditionalFormatting>
  <conditionalFormatting sqref="E135:E136">
    <cfRule type="expression" dxfId="410" priority="13">
      <formula>$D135=0</formula>
    </cfRule>
  </conditionalFormatting>
  <conditionalFormatting sqref="D138">
    <cfRule type="expression" dxfId="409" priority="18">
      <formula>$D138=0</formula>
    </cfRule>
  </conditionalFormatting>
  <conditionalFormatting sqref="C134:C138">
    <cfRule type="expression" dxfId="408" priority="22">
      <formula>$D134=0</formula>
    </cfRule>
  </conditionalFormatting>
  <conditionalFormatting sqref="C138">
    <cfRule type="expression" dxfId="407" priority="21">
      <formula>$D138=0</formula>
    </cfRule>
  </conditionalFormatting>
  <conditionalFormatting sqref="O134:O138">
    <cfRule type="expression" dxfId="406" priority="20">
      <formula>$D134=0</formula>
    </cfRule>
  </conditionalFormatting>
  <conditionalFormatting sqref="D134:D138">
    <cfRule type="expression" dxfId="405" priority="19">
      <formula>$D134=0</formula>
    </cfRule>
  </conditionalFormatting>
  <conditionalFormatting sqref="E134:K134 E137:K138 F135:I136">
    <cfRule type="expression" dxfId="404" priority="17">
      <formula>$D134=0</formula>
    </cfRule>
  </conditionalFormatting>
  <conditionalFormatting sqref="L134:N138">
    <cfRule type="expression" dxfId="403" priority="16">
      <formula>$D134=0</formula>
    </cfRule>
  </conditionalFormatting>
  <conditionalFormatting sqref="E148:K152">
    <cfRule type="expression" dxfId="402" priority="2">
      <formula>$D148=0</formula>
    </cfRule>
  </conditionalFormatting>
  <conditionalFormatting sqref="L148:O152">
    <cfRule type="expression" dxfId="401" priority="1">
      <formula>$D148=0</formula>
    </cfRule>
  </conditionalFormatting>
  <conditionalFormatting sqref="D152">
    <cfRule type="expression" dxfId="400" priority="8">
      <formula>$D152=0</formula>
    </cfRule>
  </conditionalFormatting>
  <conditionalFormatting sqref="C148:C152">
    <cfRule type="expression" dxfId="399" priority="12">
      <formula>$D148=0</formula>
    </cfRule>
  </conditionalFormatting>
  <conditionalFormatting sqref="C152">
    <cfRule type="expression" dxfId="398" priority="11">
      <formula>$D152=0</formula>
    </cfRule>
  </conditionalFormatting>
  <conditionalFormatting sqref="D148:D152">
    <cfRule type="expression" dxfId="397" priority="9">
      <formula>$D148=0</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213"/>
  <sheetViews>
    <sheetView zoomScale="40" zoomScaleNormal="40" workbookViewId="0">
      <pane ySplit="1" topLeftCell="A2" activePane="bottomLeft" state="frozen"/>
      <selection activeCell="O235" sqref="O235"/>
      <selection pane="bottomLeft" activeCell="D10" sqref="D10"/>
    </sheetView>
  </sheetViews>
  <sheetFormatPr defaultColWidth="9.453125" defaultRowHeight="14.5" outlineLevelRow="2" x14ac:dyDescent="0.35"/>
  <cols>
    <col min="1" max="1" width="3.453125" style="481" customWidth="1"/>
    <col min="2" max="2" width="5.453125" style="481" customWidth="1"/>
    <col min="3" max="3" width="14.54296875" style="485" customWidth="1"/>
    <col min="4" max="4" width="60.54296875" style="485" customWidth="1"/>
    <col min="5" max="6" width="20" style="485" customWidth="1"/>
    <col min="7" max="11" width="20" style="523" customWidth="1"/>
    <col min="12" max="13" width="28" style="523" customWidth="1"/>
    <col min="14" max="14" width="20" style="523" customWidth="1"/>
    <col min="15" max="15" width="33.453125" style="485" customWidth="1"/>
    <col min="16" max="16" width="53.54296875" style="485" customWidth="1"/>
    <col min="17" max="17" width="27" style="485" customWidth="1"/>
    <col min="18" max="16384" width="9.453125" style="485"/>
  </cols>
  <sheetData>
    <row r="1" spans="1:24" s="479" customFormat="1" ht="37.5" customHeight="1" thickBot="1" x14ac:dyDescent="0.55000000000000004">
      <c r="A1" s="477"/>
      <c r="B1" s="477"/>
      <c r="C1" s="477" t="s">
        <v>676</v>
      </c>
      <c r="D1" s="478" t="s">
        <v>394</v>
      </c>
      <c r="G1" s="480"/>
      <c r="H1" s="480"/>
      <c r="I1" s="480"/>
      <c r="J1" s="480"/>
      <c r="K1" s="480"/>
      <c r="L1" s="480"/>
      <c r="M1" s="480"/>
      <c r="N1" s="480"/>
      <c r="R1" s="479">
        <f>IF(SUM(R2:R210)&gt;0,1,0)</f>
        <v>1</v>
      </c>
      <c r="S1" s="479">
        <f t="shared" ref="S1:X1" si="0">IF(SUM(S2:S210)&gt;0,1,0)</f>
        <v>1</v>
      </c>
      <c r="T1" s="479">
        <f t="shared" si="0"/>
        <v>1</v>
      </c>
      <c r="U1" s="479">
        <f t="shared" si="0"/>
        <v>1</v>
      </c>
      <c r="V1" s="479">
        <f t="shared" si="0"/>
        <v>0</v>
      </c>
      <c r="W1" s="479">
        <f t="shared" si="0"/>
        <v>1</v>
      </c>
      <c r="X1" s="479">
        <f t="shared" si="0"/>
        <v>1</v>
      </c>
    </row>
    <row r="2" spans="1:24" s="481" customFormat="1" ht="26.25" customHeight="1" thickTop="1" thickBot="1" x14ac:dyDescent="0.4"/>
    <row r="3" spans="1:24" ht="17.25" customHeight="1" thickBot="1" x14ac:dyDescent="0.4">
      <c r="C3" s="483" t="s">
        <v>677</v>
      </c>
      <c r="D3" s="484" t="s">
        <v>678</v>
      </c>
      <c r="E3" s="481"/>
      <c r="F3" s="481"/>
      <c r="G3" s="482"/>
      <c r="H3" s="482"/>
      <c r="I3" s="482"/>
      <c r="J3" s="482"/>
      <c r="K3" s="482"/>
      <c r="L3" s="482"/>
      <c r="M3" s="482"/>
      <c r="N3" s="482"/>
      <c r="O3" s="481"/>
      <c r="P3" s="481"/>
    </row>
    <row r="4" spans="1:24" s="492" customFormat="1" ht="36.75" customHeight="1" thickBot="1" x14ac:dyDescent="0.7">
      <c r="A4" s="481"/>
      <c r="B4" s="486" t="s">
        <v>679</v>
      </c>
      <c r="C4" s="487" t="s">
        <v>395</v>
      </c>
      <c r="D4" s="514" t="s">
        <v>397</v>
      </c>
      <c r="E4" s="489"/>
      <c r="F4" s="490" t="s">
        <v>680</v>
      </c>
      <c r="G4" s="578" t="str">
        <f>VLOOKUP(C4,overview_of_services!$B$2:$I$88,2,FALSE)</f>
        <v>EV Charging - non Grid sensors</v>
      </c>
      <c r="H4" s="578"/>
      <c r="I4" s="490"/>
      <c r="J4" s="491"/>
      <c r="K4" s="491"/>
      <c r="L4" s="491"/>
      <c r="M4" s="491"/>
      <c r="N4" s="491"/>
      <c r="R4" s="492" t="s">
        <v>681</v>
      </c>
      <c r="S4" s="492">
        <f>ROW()</f>
        <v>4</v>
      </c>
    </row>
    <row r="5" spans="1:24" ht="5.25" customHeight="1" x14ac:dyDescent="0.35">
      <c r="C5" s="493"/>
      <c r="D5" s="493"/>
      <c r="E5" s="493"/>
      <c r="F5" s="493"/>
      <c r="G5" s="493"/>
      <c r="H5" s="493"/>
      <c r="I5" s="493"/>
      <c r="J5" s="493"/>
      <c r="K5" s="493"/>
      <c r="L5" s="493"/>
      <c r="M5" s="493"/>
      <c r="N5" s="493"/>
      <c r="O5" s="493"/>
      <c r="P5" s="481"/>
    </row>
    <row r="6" spans="1:24" ht="20.25" customHeight="1" outlineLevel="1" x14ac:dyDescent="0.35">
      <c r="C6" s="575" t="s">
        <v>682</v>
      </c>
      <c r="D6" s="575"/>
      <c r="E6" s="577" t="s">
        <v>683</v>
      </c>
      <c r="F6" s="577"/>
      <c r="G6" s="577"/>
      <c r="H6" s="577"/>
      <c r="I6" s="577"/>
      <c r="J6" s="577"/>
      <c r="K6" s="577"/>
      <c r="L6" s="573" t="s">
        <v>684</v>
      </c>
      <c r="M6" s="574"/>
      <c r="N6" s="569" t="s">
        <v>685</v>
      </c>
      <c r="O6" s="571" t="s">
        <v>686</v>
      </c>
      <c r="P6" s="481"/>
    </row>
    <row r="7" spans="1:24" ht="36.75" customHeight="1" outlineLevel="1" thickBot="1" x14ac:dyDescent="0.4">
      <c r="C7" s="576"/>
      <c r="D7" s="576"/>
      <c r="E7" s="495" t="s">
        <v>687</v>
      </c>
      <c r="F7" s="495" t="s">
        <v>688</v>
      </c>
      <c r="G7" s="495" t="s">
        <v>689</v>
      </c>
      <c r="H7" s="495" t="s">
        <v>690</v>
      </c>
      <c r="I7" s="495" t="s">
        <v>616</v>
      </c>
      <c r="J7" s="495" t="s">
        <v>691</v>
      </c>
      <c r="K7" s="495" t="s">
        <v>692</v>
      </c>
      <c r="L7" s="496" t="s">
        <v>693</v>
      </c>
      <c r="M7" s="496" t="s">
        <v>694</v>
      </c>
      <c r="N7" s="570"/>
      <c r="O7" s="572"/>
      <c r="P7" s="481"/>
    </row>
    <row r="8" spans="1:24" s="503" customFormat="1" ht="35.25" customHeight="1" outlineLevel="1" thickTop="1" x14ac:dyDescent="0.5">
      <c r="A8" s="481"/>
      <c r="B8" s="481"/>
      <c r="C8" s="497" t="s">
        <v>695</v>
      </c>
      <c r="D8" s="498" t="str">
        <f>VLOOKUP(C4,overview_of_services!$B$2:$I$88,4,FALSE)</f>
        <v>None</v>
      </c>
      <c r="E8" s="499">
        <v>0</v>
      </c>
      <c r="F8" s="499">
        <v>0</v>
      </c>
      <c r="G8" s="499">
        <v>0</v>
      </c>
      <c r="H8" s="499">
        <v>0</v>
      </c>
      <c r="I8" s="499">
        <v>0</v>
      </c>
      <c r="J8" s="499">
        <v>0</v>
      </c>
      <c r="K8" s="499">
        <v>0</v>
      </c>
      <c r="L8" s="530" t="s">
        <v>696</v>
      </c>
      <c r="M8" s="530" t="s">
        <v>696</v>
      </c>
      <c r="N8" s="531">
        <v>0</v>
      </c>
      <c r="O8" s="532" t="s">
        <v>721</v>
      </c>
      <c r="P8" s="504"/>
      <c r="R8" s="504">
        <f t="shared" ref="R8:S12" si="1">IF(E8=0,0,(IF(E8="+",1,(IF(E8="++",2,(IF(E8="+++",3,(IF(E8="++++",4,(IF(E8="-",-1,(IF(E8="--",-2,(IF(E8="---",-3,(IF(E8="----",-4,"NA")))))))))))))))))</f>
        <v>0</v>
      </c>
      <c r="S8" s="504">
        <f t="shared" si="1"/>
        <v>0</v>
      </c>
      <c r="T8" s="504">
        <f t="shared" ref="T8:X12" si="2">IF(G8=0,0,(IF(G8="+",1,(IF(G8="++",2,(IF(G8="+++",3,(IF(G8="++++",4,(IF(G8="-",-1,(IF(G8="--",-2,(IF(G8="---",-3,(IF(G8="----",-4,"NA")))))))))))))))))</f>
        <v>0</v>
      </c>
      <c r="U8" s="504">
        <f t="shared" si="2"/>
        <v>0</v>
      </c>
      <c r="V8" s="504">
        <f t="shared" si="2"/>
        <v>0</v>
      </c>
      <c r="W8" s="504">
        <f t="shared" si="2"/>
        <v>0</v>
      </c>
      <c r="X8" s="504">
        <f t="shared" si="2"/>
        <v>0</v>
      </c>
    </row>
    <row r="9" spans="1:24" s="503" customFormat="1" ht="35.25" customHeight="1" outlineLevel="1" x14ac:dyDescent="0.5">
      <c r="A9" s="481"/>
      <c r="B9" s="481"/>
      <c r="C9" s="505" t="s">
        <v>699</v>
      </c>
      <c r="D9" s="506" t="str">
        <f>VLOOKUP(C4,overview_of_services!$B$2:$I$88,5,FALSE)</f>
        <v>dumb charging</v>
      </c>
      <c r="E9" s="499">
        <v>0</v>
      </c>
      <c r="F9" s="499" t="s">
        <v>697</v>
      </c>
      <c r="G9" s="499">
        <v>0</v>
      </c>
      <c r="H9" s="499" t="s">
        <v>700</v>
      </c>
      <c r="I9" s="499">
        <v>0</v>
      </c>
      <c r="J9" s="499">
        <v>0</v>
      </c>
      <c r="K9" s="499">
        <v>0</v>
      </c>
      <c r="L9" s="530" t="s">
        <v>700</v>
      </c>
      <c r="M9" s="530" t="s">
        <v>704</v>
      </c>
      <c r="N9" s="531" t="s">
        <v>793</v>
      </c>
      <c r="O9" s="532" t="s">
        <v>721</v>
      </c>
      <c r="P9" s="504"/>
      <c r="R9" s="504">
        <f>IF(E9=0,0,(IF(E9="+",1,(IF(E9="++",2,(IF(E9="+++",3,(IF(E9="++++",4,(IF(E9="-",-1,(IF(E9="--",-2,(IF(E9="---",-3,(IF(E9="----",-4,"NA")))))))))))))))))</f>
        <v>0</v>
      </c>
      <c r="S9" s="504">
        <f t="shared" si="1"/>
        <v>-1</v>
      </c>
      <c r="T9" s="504">
        <f t="shared" si="2"/>
        <v>0</v>
      </c>
      <c r="U9" s="504">
        <f t="shared" si="2"/>
        <v>1</v>
      </c>
      <c r="V9" s="504">
        <f t="shared" si="2"/>
        <v>0</v>
      </c>
      <c r="W9" s="504">
        <f t="shared" si="2"/>
        <v>0</v>
      </c>
      <c r="X9" s="504">
        <f t="shared" si="2"/>
        <v>0</v>
      </c>
    </row>
    <row r="10" spans="1:24" s="503" customFormat="1" ht="35.25" customHeight="1" outlineLevel="1" x14ac:dyDescent="0.5">
      <c r="A10" s="481"/>
      <c r="B10" s="481"/>
      <c r="C10" s="505" t="s">
        <v>703</v>
      </c>
      <c r="D10" s="506" t="str">
        <f>VLOOKUP(C4,overview_of_services!$B$2:$I$88,6,FALSE)</f>
        <v>dumb charging for given time</v>
      </c>
      <c r="E10" s="499">
        <v>0</v>
      </c>
      <c r="F10" s="499" t="s">
        <v>697</v>
      </c>
      <c r="G10" s="499">
        <v>0</v>
      </c>
      <c r="H10" s="499" t="s">
        <v>704</v>
      </c>
      <c r="I10" s="499">
        <v>0</v>
      </c>
      <c r="J10" s="499">
        <v>0</v>
      </c>
      <c r="K10" s="499">
        <v>0</v>
      </c>
      <c r="L10" s="530" t="s">
        <v>700</v>
      </c>
      <c r="M10" s="530" t="s">
        <v>700</v>
      </c>
      <c r="N10" s="531" t="s">
        <v>791</v>
      </c>
      <c r="O10" s="529" t="s">
        <v>721</v>
      </c>
      <c r="P10" s="504"/>
      <c r="R10" s="504">
        <f t="shared" si="1"/>
        <v>0</v>
      </c>
      <c r="S10" s="504">
        <f t="shared" si="1"/>
        <v>-1</v>
      </c>
      <c r="T10" s="504">
        <f t="shared" si="2"/>
        <v>0</v>
      </c>
      <c r="U10" s="504">
        <f t="shared" si="2"/>
        <v>2</v>
      </c>
      <c r="V10" s="504">
        <f t="shared" si="2"/>
        <v>0</v>
      </c>
      <c r="W10" s="504">
        <f t="shared" si="2"/>
        <v>0</v>
      </c>
      <c r="X10" s="504">
        <f t="shared" si="2"/>
        <v>0</v>
      </c>
    </row>
    <row r="11" spans="1:24" s="503" customFormat="1" ht="35.25" customHeight="1" outlineLevel="1" x14ac:dyDescent="0.5">
      <c r="A11" s="481"/>
      <c r="B11" s="481"/>
      <c r="C11" s="505" t="s">
        <v>706</v>
      </c>
      <c r="D11" s="506" t="str">
        <f>VLOOKUP(C4,overview_of_services!$B$2:$I$88,7,FALSE)</f>
        <v>adaptive time charging</v>
      </c>
      <c r="E11" s="499">
        <v>0</v>
      </c>
      <c r="F11" s="499">
        <v>0</v>
      </c>
      <c r="G11" s="499">
        <v>0</v>
      </c>
      <c r="H11" s="499" t="s">
        <v>704</v>
      </c>
      <c r="I11" s="499">
        <v>0</v>
      </c>
      <c r="J11" s="499">
        <v>0</v>
      </c>
      <c r="K11" s="499">
        <v>0</v>
      </c>
      <c r="L11" s="530" t="s">
        <v>799</v>
      </c>
      <c r="M11" s="530" t="s">
        <v>799</v>
      </c>
      <c r="N11" s="531" t="s">
        <v>791</v>
      </c>
      <c r="O11" s="529" t="s">
        <v>721</v>
      </c>
      <c r="P11" s="504"/>
      <c r="R11" s="504">
        <f t="shared" si="1"/>
        <v>0</v>
      </c>
      <c r="S11" s="504">
        <f t="shared" si="1"/>
        <v>0</v>
      </c>
      <c r="T11" s="504">
        <f t="shared" si="2"/>
        <v>0</v>
      </c>
      <c r="U11" s="504">
        <f t="shared" si="2"/>
        <v>2</v>
      </c>
      <c r="V11" s="504">
        <f t="shared" si="2"/>
        <v>0</v>
      </c>
      <c r="W11" s="504">
        <f t="shared" si="2"/>
        <v>0</v>
      </c>
      <c r="X11" s="504">
        <f t="shared" si="2"/>
        <v>0</v>
      </c>
    </row>
    <row r="12" spans="1:24" s="503" customFormat="1" ht="35.25" customHeight="1" outlineLevel="1" x14ac:dyDescent="0.5">
      <c r="A12" s="481"/>
      <c r="B12" s="481"/>
      <c r="C12" s="505" t="s">
        <v>710</v>
      </c>
      <c r="D12" s="506">
        <f>VLOOKUP(C4,overview_of_services!$B$2:$I$88,8,FALSE)</f>
        <v>0</v>
      </c>
      <c r="E12" s="499"/>
      <c r="F12" s="499"/>
      <c r="G12" s="499"/>
      <c r="H12" s="499"/>
      <c r="I12" s="499"/>
      <c r="J12" s="499"/>
      <c r="K12" s="499"/>
      <c r="L12" s="500" t="s">
        <v>721</v>
      </c>
      <c r="M12" s="500" t="s">
        <v>721</v>
      </c>
      <c r="N12" s="501" t="s">
        <v>721</v>
      </c>
      <c r="O12" s="529" t="s">
        <v>721</v>
      </c>
      <c r="P12" s="504"/>
      <c r="R12" s="504">
        <f t="shared" si="1"/>
        <v>0</v>
      </c>
      <c r="S12" s="504">
        <f t="shared" si="1"/>
        <v>0</v>
      </c>
      <c r="T12" s="504">
        <f t="shared" si="2"/>
        <v>0</v>
      </c>
      <c r="U12" s="504">
        <f t="shared" si="2"/>
        <v>0</v>
      </c>
      <c r="V12" s="504">
        <f t="shared" si="2"/>
        <v>0</v>
      </c>
      <c r="W12" s="504">
        <f t="shared" si="2"/>
        <v>0</v>
      </c>
      <c r="X12" s="504">
        <f t="shared" si="2"/>
        <v>0</v>
      </c>
    </row>
    <row r="13" spans="1:24" s="503" customFormat="1" ht="6" customHeight="1" outlineLevel="2" thickBot="1" x14ac:dyDescent="0.4">
      <c r="A13" s="481"/>
      <c r="B13" s="481"/>
      <c r="C13" s="504"/>
      <c r="D13" s="504"/>
      <c r="E13" s="508"/>
      <c r="F13" s="508"/>
      <c r="G13" s="508"/>
      <c r="H13" s="508"/>
      <c r="I13" s="508"/>
      <c r="J13" s="508"/>
      <c r="K13" s="508"/>
      <c r="L13" s="504"/>
      <c r="M13" s="504"/>
      <c r="N13" s="504"/>
      <c r="O13" s="504"/>
      <c r="P13" s="504"/>
    </row>
    <row r="14" spans="1:24" s="503" customFormat="1" ht="30.75" customHeight="1" outlineLevel="2" thickBot="1" x14ac:dyDescent="0.4">
      <c r="A14" s="481"/>
      <c r="B14" s="481"/>
      <c r="C14" s="509"/>
      <c r="D14" s="509" t="s">
        <v>712</v>
      </c>
      <c r="E14" s="511" t="s">
        <v>729</v>
      </c>
      <c r="F14" s="511" t="s">
        <v>729</v>
      </c>
      <c r="G14" s="511" t="s">
        <v>729</v>
      </c>
      <c r="H14" s="511" t="s">
        <v>729</v>
      </c>
      <c r="I14" s="511" t="s">
        <v>729</v>
      </c>
      <c r="J14" s="511" t="s">
        <v>729</v>
      </c>
      <c r="K14" s="511" t="s">
        <v>729</v>
      </c>
      <c r="L14" s="511" t="s">
        <v>729</v>
      </c>
      <c r="M14" s="511" t="s">
        <v>729</v>
      </c>
      <c r="N14" s="513" t="s">
        <v>806</v>
      </c>
      <c r="O14" s="513"/>
      <c r="P14" s="504"/>
    </row>
    <row r="15" spans="1:24" s="503" customFormat="1" ht="30.75" customHeight="1" outlineLevel="2" thickBot="1" x14ac:dyDescent="0.4">
      <c r="A15" s="481"/>
      <c r="B15" s="481"/>
      <c r="C15" s="509"/>
      <c r="D15" s="509" t="s">
        <v>714</v>
      </c>
      <c r="E15" s="510"/>
      <c r="F15" s="512"/>
      <c r="G15" s="511"/>
      <c r="H15" s="511"/>
      <c r="I15" s="511"/>
      <c r="J15" s="511"/>
      <c r="K15" s="511"/>
      <c r="L15" s="517"/>
      <c r="M15" s="518"/>
      <c r="N15" s="513"/>
      <c r="O15" s="513"/>
      <c r="P15" s="504"/>
    </row>
    <row r="16" spans="1:24" ht="20.25" customHeight="1" outlineLevel="1" x14ac:dyDescent="0.35">
      <c r="C16" s="481"/>
      <c r="D16" s="481"/>
      <c r="E16" s="481"/>
      <c r="F16" s="481"/>
      <c r="G16" s="482"/>
      <c r="H16" s="482"/>
      <c r="I16" s="482"/>
      <c r="J16" s="482"/>
      <c r="K16" s="482"/>
      <c r="L16" s="482"/>
      <c r="M16" s="482"/>
      <c r="N16" s="482"/>
      <c r="O16" s="481"/>
      <c r="P16" s="481"/>
    </row>
    <row r="17" spans="1:24" ht="20.25" customHeight="1" outlineLevel="1" thickBot="1" x14ac:dyDescent="0.4">
      <c r="C17" s="481"/>
      <c r="D17" s="481"/>
      <c r="E17" s="481"/>
      <c r="F17" s="481"/>
      <c r="G17" s="482"/>
      <c r="H17" s="482"/>
      <c r="I17" s="482"/>
      <c r="J17" s="482"/>
      <c r="K17" s="482"/>
      <c r="L17" s="482"/>
      <c r="M17" s="482"/>
      <c r="N17" s="482"/>
      <c r="O17" s="481"/>
      <c r="P17" s="481"/>
    </row>
    <row r="18" spans="1:24" ht="17.25" customHeight="1" thickBot="1" x14ac:dyDescent="0.4">
      <c r="C18" s="483" t="s">
        <v>677</v>
      </c>
      <c r="D18" s="484" t="s">
        <v>678</v>
      </c>
      <c r="E18" s="481"/>
      <c r="F18" s="481"/>
      <c r="G18" s="482"/>
      <c r="H18" s="482"/>
      <c r="I18" s="482"/>
      <c r="J18" s="482"/>
      <c r="K18" s="482"/>
      <c r="L18" s="482"/>
      <c r="M18" s="482"/>
      <c r="N18" s="482"/>
      <c r="O18" s="481"/>
      <c r="P18" s="481"/>
    </row>
    <row r="19" spans="1:24" s="492" customFormat="1" ht="36.75" customHeight="1" thickBot="1" x14ac:dyDescent="0.7">
      <c r="A19" s="481"/>
      <c r="B19" s="486" t="s">
        <v>679</v>
      </c>
      <c r="C19" s="487" t="s">
        <v>401</v>
      </c>
      <c r="D19" s="514" t="s">
        <v>403</v>
      </c>
      <c r="E19" s="489"/>
      <c r="F19" s="490" t="s">
        <v>680</v>
      </c>
      <c r="G19" s="578" t="str">
        <f>VLOOKUP(C19,overview_of_services!$B$2:$I$88,2,FALSE)</f>
        <v>EV Charging - Market</v>
      </c>
      <c r="H19" s="578"/>
      <c r="I19" s="490"/>
      <c r="J19" s="491"/>
      <c r="K19" s="491"/>
      <c r="L19" s="491"/>
      <c r="M19" s="491"/>
      <c r="N19" s="491"/>
      <c r="R19" s="492" t="s">
        <v>681</v>
      </c>
      <c r="S19" s="492">
        <f>ROW()</f>
        <v>19</v>
      </c>
    </row>
    <row r="20" spans="1:24" ht="5.25" customHeight="1" x14ac:dyDescent="0.35">
      <c r="C20" s="493"/>
      <c r="D20" s="493"/>
      <c r="E20" s="493"/>
      <c r="F20" s="493"/>
      <c r="G20" s="493"/>
      <c r="H20" s="493"/>
      <c r="I20" s="493"/>
      <c r="J20" s="493"/>
      <c r="K20" s="493"/>
      <c r="L20" s="493"/>
      <c r="M20" s="493"/>
      <c r="N20" s="493"/>
      <c r="O20" s="493"/>
      <c r="P20" s="481"/>
    </row>
    <row r="21" spans="1:24" ht="20.25" customHeight="1" outlineLevel="1" x14ac:dyDescent="0.35">
      <c r="C21" s="575" t="s">
        <v>682</v>
      </c>
      <c r="D21" s="575"/>
      <c r="E21" s="577" t="s">
        <v>683</v>
      </c>
      <c r="F21" s="577"/>
      <c r="G21" s="577"/>
      <c r="H21" s="577"/>
      <c r="I21" s="577"/>
      <c r="J21" s="577"/>
      <c r="K21" s="577"/>
      <c r="L21" s="573" t="s">
        <v>684</v>
      </c>
      <c r="M21" s="574"/>
      <c r="N21" s="569" t="s">
        <v>685</v>
      </c>
      <c r="O21" s="571" t="s">
        <v>686</v>
      </c>
      <c r="P21" s="481"/>
    </row>
    <row r="22" spans="1:24" ht="36.75" customHeight="1" outlineLevel="1" thickBot="1" x14ac:dyDescent="0.4">
      <c r="C22" s="576"/>
      <c r="D22" s="576"/>
      <c r="E22" s="495" t="s">
        <v>687</v>
      </c>
      <c r="F22" s="495" t="s">
        <v>688</v>
      </c>
      <c r="G22" s="495" t="s">
        <v>689</v>
      </c>
      <c r="H22" s="495" t="s">
        <v>690</v>
      </c>
      <c r="I22" s="495" t="s">
        <v>616</v>
      </c>
      <c r="J22" s="495" t="s">
        <v>691</v>
      </c>
      <c r="K22" s="495" t="s">
        <v>692</v>
      </c>
      <c r="L22" s="496" t="s">
        <v>693</v>
      </c>
      <c r="M22" s="496" t="s">
        <v>694</v>
      </c>
      <c r="N22" s="570"/>
      <c r="O22" s="572"/>
      <c r="P22" s="481"/>
    </row>
    <row r="23" spans="1:24" s="503" customFormat="1" ht="35.25" customHeight="1" outlineLevel="1" thickTop="1" x14ac:dyDescent="0.5">
      <c r="A23" s="481"/>
      <c r="B23" s="481"/>
      <c r="C23" s="497" t="s">
        <v>695</v>
      </c>
      <c r="D23" s="498" t="str">
        <f>VLOOKUP(C19,overview_of_services!$B$2:$I$88,4,FALSE)</f>
        <v>None</v>
      </c>
      <c r="E23" s="499">
        <v>0</v>
      </c>
      <c r="F23" s="499">
        <v>0</v>
      </c>
      <c r="G23" s="499">
        <v>0</v>
      </c>
      <c r="H23" s="499">
        <v>0</v>
      </c>
      <c r="I23" s="499">
        <v>0</v>
      </c>
      <c r="J23" s="499">
        <v>0</v>
      </c>
      <c r="K23" s="499">
        <v>0</v>
      </c>
      <c r="L23" s="530" t="s">
        <v>696</v>
      </c>
      <c r="M23" s="530" t="s">
        <v>696</v>
      </c>
      <c r="N23" s="531">
        <v>0</v>
      </c>
      <c r="O23" s="532" t="s">
        <v>721</v>
      </c>
      <c r="P23" s="504"/>
      <c r="R23" s="504">
        <f t="shared" ref="R23:S27" si="3">IF(E23=0,0,(IF(E23="+",1,(IF(E23="++",2,(IF(E23="+++",3,(IF(E23="++++",4,(IF(E23="-",-1,(IF(E23="--",-2,(IF(E23="---",-3,(IF(E23="----",-4,"NA")))))))))))))))))</f>
        <v>0</v>
      </c>
      <c r="S23" s="504">
        <f t="shared" si="3"/>
        <v>0</v>
      </c>
      <c r="T23" s="504">
        <f t="shared" ref="T23:X27" si="4">IF(G23=0,0,(IF(G23="+",1,(IF(G23="++",2,(IF(G23="+++",3,(IF(G23="++++",4,(IF(G23="-",-1,(IF(G23="--",-2,(IF(G23="---",-3,(IF(G23="----",-4,"NA")))))))))))))))))</f>
        <v>0</v>
      </c>
      <c r="U23" s="504">
        <f t="shared" si="4"/>
        <v>0</v>
      </c>
      <c r="V23" s="504">
        <f t="shared" si="4"/>
        <v>0</v>
      </c>
      <c r="W23" s="504">
        <f t="shared" si="4"/>
        <v>0</v>
      </c>
      <c r="X23" s="504">
        <f t="shared" si="4"/>
        <v>0</v>
      </c>
    </row>
    <row r="24" spans="1:24" s="503" customFormat="1" ht="35.25" customHeight="1" outlineLevel="1" x14ac:dyDescent="0.5">
      <c r="A24" s="481"/>
      <c r="B24" s="481"/>
      <c r="C24" s="505" t="s">
        <v>699</v>
      </c>
      <c r="D24" s="506" t="str">
        <f>VLOOKUP(C19,overview_of_services!$B$2:$I$88,5,FALSE)</f>
        <v>dumb charging on single tariff</v>
      </c>
      <c r="E24" s="499">
        <v>0</v>
      </c>
      <c r="F24" s="499" t="s">
        <v>704</v>
      </c>
      <c r="G24" s="499">
        <v>0</v>
      </c>
      <c r="H24" s="499" t="s">
        <v>797</v>
      </c>
      <c r="I24" s="499">
        <v>0</v>
      </c>
      <c r="J24" s="499" t="s">
        <v>697</v>
      </c>
      <c r="K24" s="499">
        <v>0</v>
      </c>
      <c r="L24" s="530" t="s">
        <v>697</v>
      </c>
      <c r="M24" s="530" t="s">
        <v>697</v>
      </c>
      <c r="N24" s="531" t="s">
        <v>791</v>
      </c>
      <c r="O24" s="532" t="s">
        <v>721</v>
      </c>
      <c r="P24" s="504"/>
      <c r="R24" s="504">
        <f t="shared" si="3"/>
        <v>0</v>
      </c>
      <c r="S24" s="504">
        <f t="shared" si="3"/>
        <v>2</v>
      </c>
      <c r="T24" s="504">
        <f t="shared" si="4"/>
        <v>0</v>
      </c>
      <c r="U24" s="504">
        <f t="shared" si="4"/>
        <v>-2</v>
      </c>
      <c r="V24" s="504">
        <f t="shared" si="4"/>
        <v>0</v>
      </c>
      <c r="W24" s="504">
        <f t="shared" si="4"/>
        <v>-1</v>
      </c>
      <c r="X24" s="504">
        <f t="shared" si="4"/>
        <v>0</v>
      </c>
    </row>
    <row r="25" spans="1:24" s="503" customFormat="1" ht="35.25" customHeight="1" outlineLevel="1" x14ac:dyDescent="0.5">
      <c r="A25" s="481"/>
      <c r="B25" s="481"/>
      <c r="C25" s="505" t="s">
        <v>703</v>
      </c>
      <c r="D25" s="506" t="str">
        <f>VLOOKUP(C19,overview_of_services!$B$2:$I$88,6,FALSE)</f>
        <v>adaptive tariffs structures with remote access</v>
      </c>
      <c r="E25" s="499">
        <v>0</v>
      </c>
      <c r="F25" s="499" t="s">
        <v>704</v>
      </c>
      <c r="G25" s="499" t="s">
        <v>697</v>
      </c>
      <c r="H25" s="499" t="s">
        <v>797</v>
      </c>
      <c r="I25" s="499">
        <v>0</v>
      </c>
      <c r="J25" s="499" t="s">
        <v>697</v>
      </c>
      <c r="K25" s="499">
        <v>0</v>
      </c>
      <c r="L25" s="530" t="s">
        <v>697</v>
      </c>
      <c r="M25" s="530" t="s">
        <v>697</v>
      </c>
      <c r="N25" s="531" t="s">
        <v>791</v>
      </c>
      <c r="O25" s="532" t="s">
        <v>721</v>
      </c>
      <c r="P25" s="504"/>
      <c r="R25" s="504">
        <f t="shared" si="3"/>
        <v>0</v>
      </c>
      <c r="S25" s="504">
        <f t="shared" si="3"/>
        <v>2</v>
      </c>
      <c r="T25" s="504">
        <f t="shared" si="4"/>
        <v>-1</v>
      </c>
      <c r="U25" s="504">
        <f t="shared" si="4"/>
        <v>-2</v>
      </c>
      <c r="V25" s="504">
        <f t="shared" si="4"/>
        <v>0</v>
      </c>
      <c r="W25" s="504">
        <f t="shared" si="4"/>
        <v>-1</v>
      </c>
      <c r="X25" s="504">
        <f t="shared" si="4"/>
        <v>0</v>
      </c>
    </row>
    <row r="26" spans="1:24" s="503" customFormat="1" ht="35.25" customHeight="1" outlineLevel="1" x14ac:dyDescent="0.5">
      <c r="A26" s="481"/>
      <c r="B26" s="481"/>
      <c r="C26" s="505" t="s">
        <v>706</v>
      </c>
      <c r="D26" s="506">
        <f>VLOOKUP(C19,overview_of_services!$B$2:$I$88,7,FALSE)</f>
        <v>0</v>
      </c>
      <c r="E26" s="499"/>
      <c r="F26" s="499"/>
      <c r="G26" s="499"/>
      <c r="H26" s="499"/>
      <c r="I26" s="499"/>
      <c r="J26" s="499"/>
      <c r="K26" s="499"/>
      <c r="L26" s="500" t="s">
        <v>721</v>
      </c>
      <c r="M26" s="500" t="s">
        <v>721</v>
      </c>
      <c r="N26" s="501" t="s">
        <v>721</v>
      </c>
      <c r="O26" s="529" t="s">
        <v>721</v>
      </c>
      <c r="P26" s="504"/>
      <c r="R26" s="504">
        <f t="shared" si="3"/>
        <v>0</v>
      </c>
      <c r="S26" s="504">
        <f t="shared" si="3"/>
        <v>0</v>
      </c>
      <c r="T26" s="504">
        <f t="shared" si="4"/>
        <v>0</v>
      </c>
      <c r="U26" s="504">
        <f t="shared" si="4"/>
        <v>0</v>
      </c>
      <c r="V26" s="504">
        <f t="shared" si="4"/>
        <v>0</v>
      </c>
      <c r="W26" s="504">
        <f t="shared" si="4"/>
        <v>0</v>
      </c>
      <c r="X26" s="504">
        <f t="shared" si="4"/>
        <v>0</v>
      </c>
    </row>
    <row r="27" spans="1:24" s="503" customFormat="1" ht="35.25" customHeight="1" outlineLevel="1" x14ac:dyDescent="0.5">
      <c r="A27" s="481"/>
      <c r="B27" s="481"/>
      <c r="C27" s="505" t="s">
        <v>710</v>
      </c>
      <c r="D27" s="506">
        <f>VLOOKUP(C19,overview_of_services!$B$2:$I$88,8,FALSE)</f>
        <v>0</v>
      </c>
      <c r="E27" s="507"/>
      <c r="F27" s="499"/>
      <c r="G27" s="507"/>
      <c r="H27" s="507"/>
      <c r="I27" s="499"/>
      <c r="J27" s="499"/>
      <c r="K27" s="499"/>
      <c r="L27" s="500" t="s">
        <v>721</v>
      </c>
      <c r="M27" s="500" t="s">
        <v>721</v>
      </c>
      <c r="N27" s="501" t="s">
        <v>721</v>
      </c>
      <c r="O27" s="529" t="s">
        <v>721</v>
      </c>
      <c r="P27" s="504"/>
      <c r="R27" s="504">
        <f t="shared" si="3"/>
        <v>0</v>
      </c>
      <c r="S27" s="504">
        <f t="shared" si="3"/>
        <v>0</v>
      </c>
      <c r="T27" s="504">
        <f t="shared" si="4"/>
        <v>0</v>
      </c>
      <c r="U27" s="504">
        <f t="shared" si="4"/>
        <v>0</v>
      </c>
      <c r="V27" s="504">
        <f t="shared" si="4"/>
        <v>0</v>
      </c>
      <c r="W27" s="504">
        <f t="shared" si="4"/>
        <v>0</v>
      </c>
      <c r="X27" s="504">
        <f t="shared" si="4"/>
        <v>0</v>
      </c>
    </row>
    <row r="28" spans="1:24" s="503" customFormat="1" ht="6" customHeight="1" outlineLevel="2" thickBot="1" x14ac:dyDescent="0.4">
      <c r="A28" s="481"/>
      <c r="B28" s="481"/>
      <c r="C28" s="504"/>
      <c r="D28" s="504"/>
      <c r="E28" s="508"/>
      <c r="F28" s="508"/>
      <c r="G28" s="508"/>
      <c r="H28" s="508"/>
      <c r="I28" s="508"/>
      <c r="J28" s="508"/>
      <c r="K28" s="508"/>
      <c r="L28" s="504"/>
      <c r="M28" s="504"/>
      <c r="N28" s="504"/>
      <c r="O28" s="504"/>
      <c r="P28" s="504"/>
    </row>
    <row r="29" spans="1:24" s="503" customFormat="1" ht="30.75" customHeight="1" outlineLevel="2" thickBot="1" x14ac:dyDescent="0.4">
      <c r="A29" s="481"/>
      <c r="B29" s="481"/>
      <c r="C29" s="509"/>
      <c r="D29" s="509" t="s">
        <v>712</v>
      </c>
      <c r="E29" s="511" t="s">
        <v>729</v>
      </c>
      <c r="F29" s="511" t="s">
        <v>729</v>
      </c>
      <c r="G29" s="511" t="s">
        <v>729</v>
      </c>
      <c r="H29" s="511" t="s">
        <v>729</v>
      </c>
      <c r="I29" s="511" t="s">
        <v>729</v>
      </c>
      <c r="J29" s="511" t="s">
        <v>729</v>
      </c>
      <c r="K29" s="511" t="s">
        <v>729</v>
      </c>
      <c r="L29" s="511" t="s">
        <v>729</v>
      </c>
      <c r="M29" s="511" t="s">
        <v>729</v>
      </c>
      <c r="N29" s="511" t="s">
        <v>729</v>
      </c>
      <c r="O29" s="513"/>
      <c r="P29" s="504"/>
    </row>
    <row r="30" spans="1:24" s="503" customFormat="1" ht="30.75" customHeight="1" outlineLevel="2" thickBot="1" x14ac:dyDescent="0.4">
      <c r="A30" s="481"/>
      <c r="B30" s="481"/>
      <c r="C30" s="509"/>
      <c r="D30" s="509" t="s">
        <v>714</v>
      </c>
      <c r="E30" s="510"/>
      <c r="F30" s="512"/>
      <c r="G30" s="511"/>
      <c r="H30" s="511"/>
      <c r="I30" s="511"/>
      <c r="J30" s="511"/>
      <c r="K30" s="511"/>
      <c r="L30" s="517"/>
      <c r="M30" s="518"/>
      <c r="N30" s="513"/>
      <c r="O30" s="513"/>
      <c r="P30" s="504"/>
    </row>
    <row r="31" spans="1:24" ht="20.25" customHeight="1" outlineLevel="1" thickBot="1" x14ac:dyDescent="0.4">
      <c r="C31" s="481"/>
      <c r="D31" s="481"/>
      <c r="E31" s="481"/>
      <c r="F31" s="481"/>
      <c r="G31" s="482"/>
      <c r="H31" s="482"/>
      <c r="I31" s="482"/>
      <c r="J31" s="482"/>
      <c r="K31" s="482"/>
      <c r="L31" s="482"/>
      <c r="M31" s="482"/>
      <c r="N31" s="482"/>
      <c r="O31" s="481"/>
      <c r="P31" s="481"/>
    </row>
    <row r="32" spans="1:24" ht="17.25" customHeight="1" thickBot="1" x14ac:dyDescent="0.4">
      <c r="C32" s="483" t="s">
        <v>677</v>
      </c>
      <c r="D32" s="484" t="s">
        <v>678</v>
      </c>
      <c r="E32" s="481"/>
      <c r="F32" s="481"/>
      <c r="G32" s="482"/>
      <c r="H32" s="482"/>
      <c r="I32" s="482"/>
      <c r="J32" s="482"/>
      <c r="K32" s="482"/>
      <c r="L32" s="482"/>
      <c r="M32" s="482"/>
      <c r="N32" s="482"/>
      <c r="O32" s="481"/>
      <c r="P32" s="481"/>
    </row>
    <row r="33" spans="1:24" s="492" customFormat="1" ht="36.75" customHeight="1" thickBot="1" x14ac:dyDescent="0.7">
      <c r="A33" s="481"/>
      <c r="B33" s="486" t="s">
        <v>679</v>
      </c>
      <c r="C33" s="487" t="s">
        <v>406</v>
      </c>
      <c r="D33" s="514" t="s">
        <v>407</v>
      </c>
      <c r="E33" s="489"/>
      <c r="F33" s="490" t="s">
        <v>680</v>
      </c>
      <c r="G33" s="578" t="str">
        <f>VLOOKUP(C33,overview_of_services!$B$2:$I$88,2,FALSE)</f>
        <v>EV Charging - Market</v>
      </c>
      <c r="H33" s="578"/>
      <c r="I33" s="490"/>
      <c r="J33" s="491"/>
      <c r="K33" s="491"/>
      <c r="L33" s="491"/>
      <c r="M33" s="491"/>
      <c r="N33" s="491"/>
      <c r="R33" s="492" t="s">
        <v>681</v>
      </c>
      <c r="S33" s="492">
        <f>ROW()</f>
        <v>33</v>
      </c>
    </row>
    <row r="34" spans="1:24" ht="5.25" customHeight="1" x14ac:dyDescent="0.35">
      <c r="C34" s="493"/>
      <c r="D34" s="493"/>
      <c r="E34" s="493"/>
      <c r="F34" s="493"/>
      <c r="G34" s="493"/>
      <c r="H34" s="493"/>
      <c r="I34" s="493"/>
      <c r="J34" s="493"/>
      <c r="K34" s="493"/>
      <c r="L34" s="493"/>
      <c r="M34" s="493"/>
      <c r="N34" s="493"/>
      <c r="O34" s="493"/>
      <c r="P34" s="481"/>
    </row>
    <row r="35" spans="1:24" ht="20.25" customHeight="1" outlineLevel="1" x14ac:dyDescent="0.35">
      <c r="C35" s="575" t="s">
        <v>682</v>
      </c>
      <c r="D35" s="575"/>
      <c r="E35" s="577" t="s">
        <v>683</v>
      </c>
      <c r="F35" s="577"/>
      <c r="G35" s="577"/>
      <c r="H35" s="577"/>
      <c r="I35" s="577"/>
      <c r="J35" s="577"/>
      <c r="K35" s="577"/>
      <c r="L35" s="573" t="s">
        <v>684</v>
      </c>
      <c r="M35" s="574"/>
      <c r="N35" s="569" t="s">
        <v>685</v>
      </c>
      <c r="O35" s="571" t="s">
        <v>686</v>
      </c>
      <c r="P35" s="481"/>
    </row>
    <row r="36" spans="1:24" ht="36.75" customHeight="1" outlineLevel="1" thickBot="1" x14ac:dyDescent="0.4">
      <c r="C36" s="576"/>
      <c r="D36" s="576"/>
      <c r="E36" s="495" t="s">
        <v>687</v>
      </c>
      <c r="F36" s="495" t="s">
        <v>688</v>
      </c>
      <c r="G36" s="495" t="s">
        <v>689</v>
      </c>
      <c r="H36" s="495" t="s">
        <v>690</v>
      </c>
      <c r="I36" s="495" t="s">
        <v>616</v>
      </c>
      <c r="J36" s="495" t="s">
        <v>691</v>
      </c>
      <c r="K36" s="495" t="s">
        <v>692</v>
      </c>
      <c r="L36" s="496" t="s">
        <v>693</v>
      </c>
      <c r="M36" s="496" t="s">
        <v>694</v>
      </c>
      <c r="N36" s="570"/>
      <c r="O36" s="572"/>
      <c r="P36" s="481"/>
    </row>
    <row r="37" spans="1:24" s="503" customFormat="1" ht="35.25" customHeight="1" outlineLevel="1" thickTop="1" x14ac:dyDescent="0.5">
      <c r="A37" s="481"/>
      <c r="B37" s="481"/>
      <c r="C37" s="497" t="s">
        <v>695</v>
      </c>
      <c r="D37" s="498" t="str">
        <f>VLOOKUP(C33,overview_of_services!$B$2:$I$88,4,FALSE)</f>
        <v>None</v>
      </c>
      <c r="E37" s="499">
        <v>0</v>
      </c>
      <c r="F37" s="499">
        <v>0</v>
      </c>
      <c r="G37" s="499">
        <v>0</v>
      </c>
      <c r="H37" s="499">
        <v>0</v>
      </c>
      <c r="I37" s="499">
        <v>0</v>
      </c>
      <c r="J37" s="499">
        <v>0</v>
      </c>
      <c r="K37" s="499">
        <v>0</v>
      </c>
      <c r="L37" s="530" t="s">
        <v>696</v>
      </c>
      <c r="M37" s="530" t="s">
        <v>696</v>
      </c>
      <c r="N37" s="531">
        <v>0</v>
      </c>
      <c r="O37" s="532" t="s">
        <v>721</v>
      </c>
      <c r="P37" s="504"/>
      <c r="R37" s="504">
        <f t="shared" ref="R37:S41" si="5">IF(E37=0,0,(IF(E37="+",1,(IF(E37="++",2,(IF(E37="+++",3,(IF(E37="++++",4,(IF(E37="-",-1,(IF(E37="--",-2,(IF(E37="---",-3,(IF(E37="----",-4,"NA")))))))))))))))))</f>
        <v>0</v>
      </c>
      <c r="S37" s="504">
        <f t="shared" si="5"/>
        <v>0</v>
      </c>
      <c r="T37" s="504">
        <f t="shared" ref="T37:X41" si="6">IF(G37=0,0,(IF(G37="+",1,(IF(G37="++",2,(IF(G37="+++",3,(IF(G37="++++",4,(IF(G37="-",-1,(IF(G37="--",-2,(IF(G37="---",-3,(IF(G37="----",-4,"NA")))))))))))))))))</f>
        <v>0</v>
      </c>
      <c r="U37" s="504">
        <f t="shared" si="6"/>
        <v>0</v>
      </c>
      <c r="V37" s="504">
        <f t="shared" si="6"/>
        <v>0</v>
      </c>
      <c r="W37" s="504">
        <f t="shared" si="6"/>
        <v>0</v>
      </c>
      <c r="X37" s="504">
        <f t="shared" si="6"/>
        <v>0</v>
      </c>
    </row>
    <row r="38" spans="1:24" s="503" customFormat="1" ht="35.25" customHeight="1" outlineLevel="1" x14ac:dyDescent="0.5">
      <c r="A38" s="481"/>
      <c r="B38" s="481"/>
      <c r="C38" s="505" t="s">
        <v>699</v>
      </c>
      <c r="D38" s="506" t="str">
        <f>VLOOKUP(C33,overview_of_services!$B$2:$I$88,5,FALSE)</f>
        <v>local optimization</v>
      </c>
      <c r="E38" s="499">
        <v>0</v>
      </c>
      <c r="F38" s="499" t="s">
        <v>700</v>
      </c>
      <c r="G38" s="499">
        <v>0</v>
      </c>
      <c r="H38" s="499">
        <v>0</v>
      </c>
      <c r="I38" s="499">
        <v>0</v>
      </c>
      <c r="J38" s="499">
        <v>0</v>
      </c>
      <c r="K38" s="499">
        <v>0</v>
      </c>
      <c r="L38" s="530" t="s">
        <v>697</v>
      </c>
      <c r="M38" s="530" t="s">
        <v>697</v>
      </c>
      <c r="N38" s="531" t="s">
        <v>791</v>
      </c>
      <c r="O38" s="532" t="s">
        <v>721</v>
      </c>
      <c r="P38" s="504"/>
      <c r="R38" s="504">
        <f t="shared" si="5"/>
        <v>0</v>
      </c>
      <c r="S38" s="504">
        <f t="shared" si="5"/>
        <v>1</v>
      </c>
      <c r="T38" s="504">
        <f t="shared" si="6"/>
        <v>0</v>
      </c>
      <c r="U38" s="504">
        <f t="shared" si="6"/>
        <v>0</v>
      </c>
      <c r="V38" s="504">
        <f t="shared" si="6"/>
        <v>0</v>
      </c>
      <c r="W38" s="504">
        <f t="shared" si="6"/>
        <v>0</v>
      </c>
      <c r="X38" s="504">
        <f t="shared" si="6"/>
        <v>0</v>
      </c>
    </row>
    <row r="39" spans="1:24" s="503" customFormat="1" ht="35.25" customHeight="1" outlineLevel="1" x14ac:dyDescent="0.5">
      <c r="A39" s="481"/>
      <c r="B39" s="481"/>
      <c r="C39" s="505" t="s">
        <v>703</v>
      </c>
      <c r="D39" s="506" t="str">
        <f>VLOOKUP(C33,overview_of_services!$B$2:$I$88,6,FALSE)</f>
        <v>local and grid optimization</v>
      </c>
      <c r="E39" s="499">
        <v>0</v>
      </c>
      <c r="F39" s="499" t="s">
        <v>700</v>
      </c>
      <c r="G39" s="499">
        <v>0</v>
      </c>
      <c r="H39" s="499">
        <v>0</v>
      </c>
      <c r="I39" s="499">
        <v>0</v>
      </c>
      <c r="J39" s="499">
        <v>0</v>
      </c>
      <c r="K39" s="499">
        <v>0</v>
      </c>
      <c r="L39" s="530" t="s">
        <v>697</v>
      </c>
      <c r="M39" s="530" t="s">
        <v>697</v>
      </c>
      <c r="N39" s="531" t="s">
        <v>791</v>
      </c>
      <c r="O39" s="532" t="s">
        <v>721</v>
      </c>
      <c r="P39" s="504"/>
      <c r="R39" s="504">
        <f t="shared" si="5"/>
        <v>0</v>
      </c>
      <c r="S39" s="504">
        <f t="shared" si="5"/>
        <v>1</v>
      </c>
      <c r="T39" s="504">
        <f t="shared" si="6"/>
        <v>0</v>
      </c>
      <c r="U39" s="504">
        <f t="shared" si="6"/>
        <v>0</v>
      </c>
      <c r="V39" s="504">
        <f t="shared" si="6"/>
        <v>0</v>
      </c>
      <c r="W39" s="504">
        <f t="shared" si="6"/>
        <v>0</v>
      </c>
      <c r="X39" s="504">
        <f t="shared" si="6"/>
        <v>0</v>
      </c>
    </row>
    <row r="40" spans="1:24" s="503" customFormat="1" ht="35.25" customHeight="1" outlineLevel="1" x14ac:dyDescent="0.5">
      <c r="A40" s="481"/>
      <c r="B40" s="481"/>
      <c r="C40" s="505" t="s">
        <v>706</v>
      </c>
      <c r="D40" s="506">
        <f>VLOOKUP(C33,overview_of_services!$B$2:$I$88,7,FALSE)</f>
        <v>0</v>
      </c>
      <c r="E40" s="499"/>
      <c r="F40" s="499"/>
      <c r="G40" s="499"/>
      <c r="H40" s="499"/>
      <c r="I40" s="499"/>
      <c r="J40" s="499"/>
      <c r="K40" s="499"/>
      <c r="L40" s="500" t="s">
        <v>721</v>
      </c>
      <c r="M40" s="500" t="s">
        <v>721</v>
      </c>
      <c r="N40" s="501" t="s">
        <v>721</v>
      </c>
      <c r="O40" s="529" t="s">
        <v>721</v>
      </c>
      <c r="P40" s="504"/>
      <c r="R40" s="504">
        <f t="shared" si="5"/>
        <v>0</v>
      </c>
      <c r="S40" s="504">
        <f t="shared" si="5"/>
        <v>0</v>
      </c>
      <c r="T40" s="504">
        <f t="shared" si="6"/>
        <v>0</v>
      </c>
      <c r="U40" s="504">
        <f t="shared" si="6"/>
        <v>0</v>
      </c>
      <c r="V40" s="504">
        <f t="shared" si="6"/>
        <v>0</v>
      </c>
      <c r="W40" s="504">
        <f t="shared" si="6"/>
        <v>0</v>
      </c>
      <c r="X40" s="504">
        <f t="shared" si="6"/>
        <v>0</v>
      </c>
    </row>
    <row r="41" spans="1:24" s="503" customFormat="1" ht="35.25" customHeight="1" outlineLevel="1" x14ac:dyDescent="0.5">
      <c r="A41" s="481"/>
      <c r="B41" s="481"/>
      <c r="C41" s="505" t="s">
        <v>710</v>
      </c>
      <c r="D41" s="506">
        <f>VLOOKUP(C33,overview_of_services!$B$2:$I$88,8,FALSE)</f>
        <v>0</v>
      </c>
      <c r="E41" s="507"/>
      <c r="F41" s="499"/>
      <c r="G41" s="507"/>
      <c r="H41" s="507"/>
      <c r="I41" s="499"/>
      <c r="J41" s="499"/>
      <c r="K41" s="499"/>
      <c r="L41" s="500" t="s">
        <v>721</v>
      </c>
      <c r="M41" s="500" t="s">
        <v>721</v>
      </c>
      <c r="N41" s="501" t="s">
        <v>721</v>
      </c>
      <c r="O41" s="529" t="s">
        <v>721</v>
      </c>
      <c r="P41" s="504"/>
      <c r="R41" s="504">
        <f t="shared" si="5"/>
        <v>0</v>
      </c>
      <c r="S41" s="504">
        <f t="shared" si="5"/>
        <v>0</v>
      </c>
      <c r="T41" s="504">
        <f t="shared" si="6"/>
        <v>0</v>
      </c>
      <c r="U41" s="504">
        <f t="shared" si="6"/>
        <v>0</v>
      </c>
      <c r="V41" s="504">
        <f t="shared" si="6"/>
        <v>0</v>
      </c>
      <c r="W41" s="504">
        <f t="shared" si="6"/>
        <v>0</v>
      </c>
      <c r="X41" s="504">
        <f t="shared" si="6"/>
        <v>0</v>
      </c>
    </row>
    <row r="42" spans="1:24" s="503" customFormat="1" ht="6" customHeight="1" outlineLevel="2" thickBot="1" x14ac:dyDescent="0.4">
      <c r="A42" s="481"/>
      <c r="B42" s="481"/>
      <c r="C42" s="504"/>
      <c r="D42" s="504"/>
      <c r="E42" s="508"/>
      <c r="F42" s="508"/>
      <c r="G42" s="508"/>
      <c r="H42" s="508"/>
      <c r="I42" s="508"/>
      <c r="J42" s="508"/>
      <c r="K42" s="508"/>
      <c r="L42" s="504"/>
      <c r="M42" s="504"/>
      <c r="N42" s="504"/>
      <c r="O42" s="504"/>
      <c r="P42" s="504"/>
    </row>
    <row r="43" spans="1:24" s="503" customFormat="1" ht="30.75" customHeight="1" outlineLevel="2" thickBot="1" x14ac:dyDescent="0.4">
      <c r="A43" s="481"/>
      <c r="B43" s="481"/>
      <c r="C43" s="509"/>
      <c r="D43" s="509" t="s">
        <v>712</v>
      </c>
      <c r="E43" s="511" t="s">
        <v>729</v>
      </c>
      <c r="F43" s="511" t="s">
        <v>729</v>
      </c>
      <c r="G43" s="511" t="s">
        <v>729</v>
      </c>
      <c r="H43" s="511" t="s">
        <v>729</v>
      </c>
      <c r="I43" s="511" t="s">
        <v>729</v>
      </c>
      <c r="J43" s="511" t="s">
        <v>729</v>
      </c>
      <c r="K43" s="511" t="s">
        <v>729</v>
      </c>
      <c r="L43" s="511" t="s">
        <v>729</v>
      </c>
      <c r="M43" s="511" t="s">
        <v>729</v>
      </c>
      <c r="N43" s="511" t="s">
        <v>729</v>
      </c>
      <c r="O43" s="513"/>
      <c r="P43" s="504"/>
    </row>
    <row r="44" spans="1:24" s="503" customFormat="1" ht="30.75" customHeight="1" outlineLevel="2" thickBot="1" x14ac:dyDescent="0.4">
      <c r="A44" s="481"/>
      <c r="B44" s="481"/>
      <c r="C44" s="509"/>
      <c r="D44" s="509" t="s">
        <v>714</v>
      </c>
      <c r="E44" s="510"/>
      <c r="F44" s="512"/>
      <c r="G44" s="511"/>
      <c r="H44" s="511"/>
      <c r="I44" s="511"/>
      <c r="J44" s="511"/>
      <c r="K44" s="511"/>
      <c r="L44" s="517"/>
      <c r="M44" s="518"/>
      <c r="N44" s="513"/>
      <c r="O44" s="513"/>
      <c r="P44" s="504"/>
    </row>
    <row r="45" spans="1:24" ht="20.25" customHeight="1" outlineLevel="1" thickBot="1" x14ac:dyDescent="0.4">
      <c r="C45" s="481"/>
      <c r="D45" s="481"/>
      <c r="E45" s="481"/>
      <c r="F45" s="481"/>
      <c r="G45" s="482"/>
      <c r="H45" s="482"/>
      <c r="I45" s="482"/>
      <c r="J45" s="482"/>
      <c r="K45" s="482"/>
      <c r="L45" s="482"/>
      <c r="M45" s="482"/>
      <c r="N45" s="482"/>
      <c r="O45" s="481"/>
      <c r="P45" s="481"/>
    </row>
    <row r="46" spans="1:24" ht="17.25" customHeight="1" thickBot="1" x14ac:dyDescent="0.4">
      <c r="C46" s="483" t="s">
        <v>677</v>
      </c>
      <c r="D46" s="484" t="s">
        <v>678</v>
      </c>
      <c r="E46" s="481"/>
      <c r="F46" s="481"/>
      <c r="G46" s="482"/>
      <c r="H46" s="482"/>
      <c r="I46" s="482"/>
      <c r="J46" s="482"/>
      <c r="K46" s="482"/>
      <c r="L46" s="482"/>
      <c r="M46" s="482"/>
      <c r="N46" s="482"/>
      <c r="O46" s="481"/>
      <c r="P46" s="481"/>
    </row>
    <row r="47" spans="1:24" s="492" customFormat="1" ht="36.75" customHeight="1" thickBot="1" x14ac:dyDescent="0.7">
      <c r="A47" s="481"/>
      <c r="B47" s="486" t="s">
        <v>679</v>
      </c>
      <c r="C47" s="487" t="s">
        <v>410</v>
      </c>
      <c r="D47" s="514" t="s">
        <v>411</v>
      </c>
      <c r="E47" s="489"/>
      <c r="F47" s="490" t="s">
        <v>680</v>
      </c>
      <c r="G47" s="578" t="str">
        <f>VLOOKUP(C47,overview_of_services!$B$2:$I$88,2,FALSE)</f>
        <v>EV Charging - Market</v>
      </c>
      <c r="H47" s="578"/>
      <c r="I47" s="490"/>
      <c r="J47" s="491"/>
      <c r="K47" s="491"/>
      <c r="L47" s="491"/>
      <c r="M47" s="491"/>
      <c r="N47" s="491"/>
      <c r="R47" s="492" t="s">
        <v>681</v>
      </c>
      <c r="S47" s="492">
        <f>ROW()</f>
        <v>47</v>
      </c>
    </row>
    <row r="48" spans="1:24" ht="5.25" customHeight="1" x14ac:dyDescent="0.35">
      <c r="C48" s="493"/>
      <c r="D48" s="493"/>
      <c r="E48" s="493"/>
      <c r="F48" s="493"/>
      <c r="G48" s="493"/>
      <c r="H48" s="493"/>
      <c r="I48" s="493"/>
      <c r="J48" s="493"/>
      <c r="K48" s="493"/>
      <c r="L48" s="493"/>
      <c r="M48" s="493"/>
      <c r="N48" s="493"/>
      <c r="O48" s="493"/>
      <c r="P48" s="481"/>
    </row>
    <row r="49" spans="1:24" ht="20.25" customHeight="1" outlineLevel="1" x14ac:dyDescent="0.35">
      <c r="C49" s="575" t="s">
        <v>682</v>
      </c>
      <c r="D49" s="575"/>
      <c r="E49" s="577" t="s">
        <v>683</v>
      </c>
      <c r="F49" s="577"/>
      <c r="G49" s="577"/>
      <c r="H49" s="577"/>
      <c r="I49" s="577"/>
      <c r="J49" s="577"/>
      <c r="K49" s="577"/>
      <c r="L49" s="573" t="s">
        <v>684</v>
      </c>
      <c r="M49" s="574"/>
      <c r="N49" s="569" t="s">
        <v>685</v>
      </c>
      <c r="O49" s="571" t="s">
        <v>686</v>
      </c>
      <c r="P49" s="481"/>
    </row>
    <row r="50" spans="1:24" ht="36.75" customHeight="1" outlineLevel="1" thickBot="1" x14ac:dyDescent="0.4">
      <c r="C50" s="576"/>
      <c r="D50" s="576"/>
      <c r="E50" s="495" t="s">
        <v>687</v>
      </c>
      <c r="F50" s="495" t="s">
        <v>688</v>
      </c>
      <c r="G50" s="495" t="s">
        <v>689</v>
      </c>
      <c r="H50" s="495" t="s">
        <v>690</v>
      </c>
      <c r="I50" s="495" t="s">
        <v>616</v>
      </c>
      <c r="J50" s="495" t="s">
        <v>691</v>
      </c>
      <c r="K50" s="495" t="s">
        <v>692</v>
      </c>
      <c r="L50" s="496" t="s">
        <v>693</v>
      </c>
      <c r="M50" s="496" t="s">
        <v>694</v>
      </c>
      <c r="N50" s="570"/>
      <c r="O50" s="572"/>
      <c r="P50" s="481"/>
    </row>
    <row r="51" spans="1:24" s="503" customFormat="1" ht="35.25" customHeight="1" outlineLevel="1" thickTop="1" x14ac:dyDescent="0.5">
      <c r="A51" s="481"/>
      <c r="B51" s="481"/>
      <c r="C51" s="497" t="s">
        <v>695</v>
      </c>
      <c r="D51" s="498" t="str">
        <f>VLOOKUP(C47,overview_of_services!$B$2:$I$88,4,FALSE)</f>
        <v>None</v>
      </c>
      <c r="E51" s="499">
        <v>0</v>
      </c>
      <c r="F51" s="499">
        <v>0</v>
      </c>
      <c r="G51" s="499">
        <v>0</v>
      </c>
      <c r="H51" s="499">
        <v>0</v>
      </c>
      <c r="I51" s="499">
        <v>0</v>
      </c>
      <c r="J51" s="499">
        <v>0</v>
      </c>
      <c r="K51" s="499">
        <v>0</v>
      </c>
      <c r="L51" s="530" t="s">
        <v>696</v>
      </c>
      <c r="M51" s="530" t="s">
        <v>696</v>
      </c>
      <c r="N51" s="531">
        <v>0</v>
      </c>
      <c r="O51" s="532" t="s">
        <v>721</v>
      </c>
      <c r="P51" s="504"/>
      <c r="R51" s="504">
        <f t="shared" ref="R51:S55" si="7">IF(E51=0,0,(IF(E51="+",1,(IF(E51="++",2,(IF(E51="+++",3,(IF(E51="++++",4,(IF(E51="-",-1,(IF(E51="--",-2,(IF(E51="---",-3,(IF(E51="----",-4,"NA")))))))))))))))))</f>
        <v>0</v>
      </c>
      <c r="S51" s="504">
        <f t="shared" si="7"/>
        <v>0</v>
      </c>
      <c r="T51" s="504">
        <f t="shared" ref="T51:X55" si="8">IF(G51=0,0,(IF(G51="+",1,(IF(G51="++",2,(IF(G51="+++",3,(IF(G51="++++",4,(IF(G51="-",-1,(IF(G51="--",-2,(IF(G51="---",-3,(IF(G51="----",-4,"NA")))))))))))))))))</f>
        <v>0</v>
      </c>
      <c r="U51" s="504">
        <f t="shared" si="8"/>
        <v>0</v>
      </c>
      <c r="V51" s="504">
        <f t="shared" si="8"/>
        <v>0</v>
      </c>
      <c r="W51" s="504">
        <f t="shared" si="8"/>
        <v>0</v>
      </c>
      <c r="X51" s="504">
        <f t="shared" si="8"/>
        <v>0</v>
      </c>
    </row>
    <row r="52" spans="1:24" s="503" customFormat="1" ht="35.25" customHeight="1" outlineLevel="1" x14ac:dyDescent="0.5">
      <c r="A52" s="481"/>
      <c r="B52" s="481"/>
      <c r="C52" s="505" t="s">
        <v>699</v>
      </c>
      <c r="D52" s="506" t="str">
        <f>VLOOKUP(C47,overview_of_services!$B$2:$I$88,5,FALSE)</f>
        <v>local optimization</v>
      </c>
      <c r="E52" s="499">
        <v>0</v>
      </c>
      <c r="F52" s="499" t="s">
        <v>700</v>
      </c>
      <c r="G52" s="499">
        <v>0</v>
      </c>
      <c r="H52" s="499">
        <v>0</v>
      </c>
      <c r="I52" s="499">
        <v>0</v>
      </c>
      <c r="J52" s="499">
        <v>0</v>
      </c>
      <c r="K52" s="499">
        <v>0</v>
      </c>
      <c r="L52" s="530" t="s">
        <v>797</v>
      </c>
      <c r="M52" s="530" t="s">
        <v>797</v>
      </c>
      <c r="N52" s="531" t="s">
        <v>791</v>
      </c>
      <c r="O52" s="532" t="s">
        <v>721</v>
      </c>
      <c r="P52" s="504"/>
      <c r="R52" s="504">
        <f t="shared" si="7"/>
        <v>0</v>
      </c>
      <c r="S52" s="504">
        <f t="shared" si="7"/>
        <v>1</v>
      </c>
      <c r="T52" s="504">
        <f t="shared" si="8"/>
        <v>0</v>
      </c>
      <c r="U52" s="504">
        <f t="shared" si="8"/>
        <v>0</v>
      </c>
      <c r="V52" s="504">
        <f t="shared" si="8"/>
        <v>0</v>
      </c>
      <c r="W52" s="504">
        <f t="shared" si="8"/>
        <v>0</v>
      </c>
      <c r="X52" s="504">
        <f t="shared" si="8"/>
        <v>0</v>
      </c>
    </row>
    <row r="53" spans="1:24" s="503" customFormat="1" ht="35.25" customHeight="1" outlineLevel="1" x14ac:dyDescent="0.5">
      <c r="A53" s="481"/>
      <c r="B53" s="481"/>
      <c r="C53" s="505" t="s">
        <v>703</v>
      </c>
      <c r="D53" s="506" t="str">
        <f>VLOOKUP(C47,overview_of_services!$B$2:$I$88,6,FALSE)</f>
        <v>local and grid optimization</v>
      </c>
      <c r="E53" s="499">
        <v>0</v>
      </c>
      <c r="F53" s="499" t="s">
        <v>700</v>
      </c>
      <c r="G53" s="499">
        <v>0</v>
      </c>
      <c r="H53" s="499">
        <v>0</v>
      </c>
      <c r="I53" s="499">
        <v>0</v>
      </c>
      <c r="J53" s="499">
        <v>0</v>
      </c>
      <c r="K53" s="499">
        <v>0</v>
      </c>
      <c r="L53" s="530" t="s">
        <v>797</v>
      </c>
      <c r="M53" s="530" t="s">
        <v>797</v>
      </c>
      <c r="N53" s="531" t="s">
        <v>791</v>
      </c>
      <c r="O53" s="532" t="s">
        <v>721</v>
      </c>
      <c r="P53" s="504"/>
      <c r="R53" s="504">
        <f t="shared" si="7"/>
        <v>0</v>
      </c>
      <c r="S53" s="504">
        <f t="shared" si="7"/>
        <v>1</v>
      </c>
      <c r="T53" s="504">
        <f t="shared" si="8"/>
        <v>0</v>
      </c>
      <c r="U53" s="504">
        <f t="shared" si="8"/>
        <v>0</v>
      </c>
      <c r="V53" s="504">
        <f t="shared" si="8"/>
        <v>0</v>
      </c>
      <c r="W53" s="504">
        <f t="shared" si="8"/>
        <v>0</v>
      </c>
      <c r="X53" s="504">
        <f t="shared" si="8"/>
        <v>0</v>
      </c>
    </row>
    <row r="54" spans="1:24" s="503" customFormat="1" ht="35.25" customHeight="1" outlineLevel="1" x14ac:dyDescent="0.5">
      <c r="A54" s="481"/>
      <c r="B54" s="481"/>
      <c r="C54" s="505" t="s">
        <v>706</v>
      </c>
      <c r="D54" s="506">
        <f>VLOOKUP(C47,overview_of_services!$B$2:$I$88,7,FALSE)</f>
        <v>0</v>
      </c>
      <c r="E54" s="499"/>
      <c r="F54" s="499"/>
      <c r="G54" s="499"/>
      <c r="H54" s="499"/>
      <c r="I54" s="499"/>
      <c r="J54" s="499"/>
      <c r="K54" s="499"/>
      <c r="L54" s="500" t="s">
        <v>721</v>
      </c>
      <c r="M54" s="500" t="s">
        <v>721</v>
      </c>
      <c r="N54" s="501" t="s">
        <v>721</v>
      </c>
      <c r="O54" s="529" t="s">
        <v>721</v>
      </c>
      <c r="P54" s="504"/>
      <c r="R54" s="504">
        <f t="shared" si="7"/>
        <v>0</v>
      </c>
      <c r="S54" s="504">
        <f t="shared" si="7"/>
        <v>0</v>
      </c>
      <c r="T54" s="504">
        <f t="shared" si="8"/>
        <v>0</v>
      </c>
      <c r="U54" s="504">
        <f t="shared" si="8"/>
        <v>0</v>
      </c>
      <c r="V54" s="504">
        <f t="shared" si="8"/>
        <v>0</v>
      </c>
      <c r="W54" s="504">
        <f t="shared" si="8"/>
        <v>0</v>
      </c>
      <c r="X54" s="504">
        <f t="shared" si="8"/>
        <v>0</v>
      </c>
    </row>
    <row r="55" spans="1:24" s="503" customFormat="1" ht="35.25" customHeight="1" outlineLevel="1" x14ac:dyDescent="0.5">
      <c r="A55" s="481"/>
      <c r="B55" s="481"/>
      <c r="C55" s="505" t="s">
        <v>710</v>
      </c>
      <c r="D55" s="506">
        <f>VLOOKUP(C47,overview_of_services!$B$2:$I$88,8,FALSE)</f>
        <v>0</v>
      </c>
      <c r="E55" s="507"/>
      <c r="F55" s="499"/>
      <c r="G55" s="507"/>
      <c r="H55" s="507"/>
      <c r="I55" s="499"/>
      <c r="J55" s="499"/>
      <c r="K55" s="499"/>
      <c r="L55" s="500" t="s">
        <v>721</v>
      </c>
      <c r="M55" s="500" t="s">
        <v>721</v>
      </c>
      <c r="N55" s="501" t="s">
        <v>721</v>
      </c>
      <c r="O55" s="529" t="s">
        <v>721</v>
      </c>
      <c r="P55" s="504"/>
      <c r="R55" s="504">
        <f t="shared" si="7"/>
        <v>0</v>
      </c>
      <c r="S55" s="504">
        <f t="shared" si="7"/>
        <v>0</v>
      </c>
      <c r="T55" s="504">
        <f t="shared" si="8"/>
        <v>0</v>
      </c>
      <c r="U55" s="504">
        <f t="shared" si="8"/>
        <v>0</v>
      </c>
      <c r="V55" s="504">
        <f t="shared" si="8"/>
        <v>0</v>
      </c>
      <c r="W55" s="504">
        <f t="shared" si="8"/>
        <v>0</v>
      </c>
      <c r="X55" s="504">
        <f t="shared" si="8"/>
        <v>0</v>
      </c>
    </row>
    <row r="56" spans="1:24" s="503" customFormat="1" ht="6" customHeight="1" outlineLevel="2" thickBot="1" x14ac:dyDescent="0.4">
      <c r="A56" s="481"/>
      <c r="B56" s="481"/>
      <c r="C56" s="504"/>
      <c r="D56" s="504"/>
      <c r="E56" s="508"/>
      <c r="F56" s="508"/>
      <c r="G56" s="508"/>
      <c r="H56" s="508"/>
      <c r="I56" s="508"/>
      <c r="J56" s="508"/>
      <c r="K56" s="508"/>
      <c r="L56" s="504"/>
      <c r="M56" s="504"/>
      <c r="N56" s="504"/>
      <c r="O56" s="504"/>
      <c r="P56" s="504"/>
    </row>
    <row r="57" spans="1:24" s="503" customFormat="1" ht="30.75" customHeight="1" outlineLevel="2" thickBot="1" x14ac:dyDescent="0.4">
      <c r="A57" s="481"/>
      <c r="B57" s="481"/>
      <c r="C57" s="509"/>
      <c r="D57" s="509" t="s">
        <v>712</v>
      </c>
      <c r="E57" s="511" t="s">
        <v>729</v>
      </c>
      <c r="F57" s="511" t="s">
        <v>729</v>
      </c>
      <c r="G57" s="511" t="s">
        <v>729</v>
      </c>
      <c r="H57" s="511" t="s">
        <v>729</v>
      </c>
      <c r="I57" s="511" t="s">
        <v>729</v>
      </c>
      <c r="J57" s="511" t="s">
        <v>729</v>
      </c>
      <c r="K57" s="511" t="s">
        <v>729</v>
      </c>
      <c r="L57" s="511" t="s">
        <v>729</v>
      </c>
      <c r="M57" s="511" t="s">
        <v>729</v>
      </c>
      <c r="N57" s="511" t="s">
        <v>729</v>
      </c>
      <c r="O57" s="513"/>
      <c r="P57" s="504"/>
    </row>
    <row r="58" spans="1:24" s="503" customFormat="1" ht="30.75" customHeight="1" outlineLevel="2" thickBot="1" x14ac:dyDescent="0.4">
      <c r="A58" s="481"/>
      <c r="B58" s="481"/>
      <c r="C58" s="509"/>
      <c r="D58" s="509" t="s">
        <v>714</v>
      </c>
      <c r="E58" s="510"/>
      <c r="F58" s="512"/>
      <c r="G58" s="511"/>
      <c r="H58" s="511"/>
      <c r="I58" s="511"/>
      <c r="J58" s="511"/>
      <c r="K58" s="511"/>
      <c r="L58" s="517"/>
      <c r="M58" s="518"/>
      <c r="N58" s="513"/>
      <c r="O58" s="513"/>
      <c r="P58" s="504"/>
    </row>
    <row r="59" spans="1:24" ht="20.25" customHeight="1" outlineLevel="1" x14ac:dyDescent="0.35">
      <c r="C59" s="481"/>
      <c r="D59" s="481"/>
      <c r="E59" s="481"/>
      <c r="F59" s="481"/>
      <c r="G59" s="482"/>
      <c r="H59" s="482"/>
      <c r="I59" s="482"/>
      <c r="J59" s="482"/>
      <c r="K59" s="482"/>
      <c r="L59" s="482"/>
      <c r="M59" s="482"/>
      <c r="N59" s="482"/>
      <c r="O59" s="481"/>
      <c r="P59" s="481"/>
    </row>
    <row r="60" spans="1:24" ht="20.25" customHeight="1" outlineLevel="1" thickBot="1" x14ac:dyDescent="0.4">
      <c r="C60" s="481"/>
      <c r="D60" s="481"/>
      <c r="E60" s="481"/>
      <c r="F60" s="481"/>
      <c r="G60" s="482"/>
      <c r="H60" s="482"/>
      <c r="I60" s="482"/>
      <c r="J60" s="482"/>
      <c r="K60" s="482"/>
      <c r="L60" s="482"/>
      <c r="M60" s="482"/>
      <c r="N60" s="482"/>
      <c r="O60" s="481"/>
      <c r="P60" s="481"/>
    </row>
    <row r="61" spans="1:24" ht="17.25" customHeight="1" thickBot="1" x14ac:dyDescent="0.4">
      <c r="C61" s="483" t="s">
        <v>677</v>
      </c>
      <c r="D61" s="484" t="s">
        <v>678</v>
      </c>
      <c r="E61" s="481"/>
      <c r="F61" s="481"/>
      <c r="G61" s="482"/>
      <c r="H61" s="482"/>
      <c r="I61" s="482"/>
      <c r="J61" s="482"/>
      <c r="K61" s="482"/>
      <c r="L61" s="482"/>
      <c r="M61" s="482"/>
      <c r="N61" s="482"/>
      <c r="O61" s="481"/>
      <c r="P61" s="481"/>
    </row>
    <row r="62" spans="1:24" s="492" customFormat="1" ht="36.75" customHeight="1" thickBot="1" x14ac:dyDescent="0.7">
      <c r="A62" s="481"/>
      <c r="B62" s="486" t="s">
        <v>679</v>
      </c>
      <c r="C62" s="487" t="s">
        <v>412</v>
      </c>
      <c r="D62" s="514" t="s">
        <v>413</v>
      </c>
      <c r="E62" s="489"/>
      <c r="F62" s="490" t="s">
        <v>680</v>
      </c>
      <c r="G62" s="578" t="str">
        <f>VLOOKUP(C62,overview_of_services!$B$2:$I$88,2,FALSE)</f>
        <v>EV Charging - non Grid sensors</v>
      </c>
      <c r="H62" s="578"/>
      <c r="I62" s="490"/>
      <c r="J62" s="491"/>
      <c r="K62" s="491"/>
      <c r="L62" s="491"/>
      <c r="M62" s="491"/>
      <c r="N62" s="491"/>
      <c r="R62" s="492" t="s">
        <v>681</v>
      </c>
      <c r="S62" s="492">
        <f>ROW()</f>
        <v>62</v>
      </c>
    </row>
    <row r="63" spans="1:24" ht="5.25" customHeight="1" x14ac:dyDescent="0.35">
      <c r="C63" s="493"/>
      <c r="D63" s="493"/>
      <c r="E63" s="493"/>
      <c r="F63" s="493"/>
      <c r="G63" s="493"/>
      <c r="H63" s="493"/>
      <c r="I63" s="493"/>
      <c r="J63" s="493"/>
      <c r="K63" s="493"/>
      <c r="L63" s="493"/>
      <c r="M63" s="493"/>
      <c r="N63" s="493"/>
      <c r="O63" s="493"/>
      <c r="P63" s="481"/>
    </row>
    <row r="64" spans="1:24" ht="20.25" customHeight="1" outlineLevel="1" x14ac:dyDescent="0.35">
      <c r="C64" s="575" t="s">
        <v>682</v>
      </c>
      <c r="D64" s="575"/>
      <c r="E64" s="577" t="s">
        <v>683</v>
      </c>
      <c r="F64" s="577"/>
      <c r="G64" s="577"/>
      <c r="H64" s="577"/>
      <c r="I64" s="577"/>
      <c r="J64" s="577"/>
      <c r="K64" s="577"/>
      <c r="L64" s="573" t="s">
        <v>684</v>
      </c>
      <c r="M64" s="574"/>
      <c r="N64" s="569" t="s">
        <v>685</v>
      </c>
      <c r="O64" s="571" t="s">
        <v>686</v>
      </c>
      <c r="P64" s="481"/>
    </row>
    <row r="65" spans="1:24" ht="36.75" customHeight="1" outlineLevel="1" thickBot="1" x14ac:dyDescent="0.4">
      <c r="C65" s="576"/>
      <c r="D65" s="576"/>
      <c r="E65" s="495" t="s">
        <v>687</v>
      </c>
      <c r="F65" s="495" t="s">
        <v>688</v>
      </c>
      <c r="G65" s="495" t="s">
        <v>689</v>
      </c>
      <c r="H65" s="495" t="s">
        <v>690</v>
      </c>
      <c r="I65" s="495" t="s">
        <v>616</v>
      </c>
      <c r="J65" s="495" t="s">
        <v>691</v>
      </c>
      <c r="K65" s="495" t="s">
        <v>692</v>
      </c>
      <c r="L65" s="496" t="s">
        <v>693</v>
      </c>
      <c r="M65" s="496" t="s">
        <v>694</v>
      </c>
      <c r="N65" s="570"/>
      <c r="O65" s="572"/>
      <c r="P65" s="481"/>
    </row>
    <row r="66" spans="1:24" s="503" customFormat="1" ht="35.25" customHeight="1" outlineLevel="1" thickTop="1" x14ac:dyDescent="0.5">
      <c r="A66" s="481"/>
      <c r="B66" s="481"/>
      <c r="C66" s="497" t="s">
        <v>695</v>
      </c>
      <c r="D66" s="498" t="str">
        <f>VLOOKUP(C62,overview_of_services!$B$2:$I$88,4,FALSE)</f>
        <v>None</v>
      </c>
      <c r="E66" s="499">
        <v>0</v>
      </c>
      <c r="F66" s="499">
        <v>0</v>
      </c>
      <c r="G66" s="499">
        <v>0</v>
      </c>
      <c r="H66" s="499">
        <v>0</v>
      </c>
      <c r="I66" s="499">
        <v>0</v>
      </c>
      <c r="J66" s="499">
        <v>0</v>
      </c>
      <c r="K66" s="499">
        <v>0</v>
      </c>
      <c r="L66" s="530" t="s">
        <v>696</v>
      </c>
      <c r="M66" s="530" t="s">
        <v>696</v>
      </c>
      <c r="N66" s="531">
        <v>0</v>
      </c>
      <c r="O66" s="532" t="s">
        <v>721</v>
      </c>
      <c r="P66" s="504"/>
      <c r="R66" s="504">
        <f t="shared" ref="R66:S70" si="9">IF(E66=0,0,(IF(E66="+",1,(IF(E66="++",2,(IF(E66="+++",3,(IF(E66="++++",4,(IF(E66="-",-1,(IF(E66="--",-2,(IF(E66="---",-3,(IF(E66="----",-4,"NA")))))))))))))))))</f>
        <v>0</v>
      </c>
      <c r="S66" s="504">
        <f t="shared" si="9"/>
        <v>0</v>
      </c>
      <c r="T66" s="504">
        <f t="shared" ref="T66:X70" si="10">IF(G66=0,0,(IF(G66="+",1,(IF(G66="++",2,(IF(G66="+++",3,(IF(G66="++++",4,(IF(G66="-",-1,(IF(G66="--",-2,(IF(G66="---",-3,(IF(G66="----",-4,"NA")))))))))))))))))</f>
        <v>0</v>
      </c>
      <c r="U66" s="504">
        <f t="shared" si="10"/>
        <v>0</v>
      </c>
      <c r="V66" s="504">
        <f t="shared" si="10"/>
        <v>0</v>
      </c>
      <c r="W66" s="504">
        <f t="shared" si="10"/>
        <v>0</v>
      </c>
      <c r="X66" s="504">
        <f t="shared" si="10"/>
        <v>0</v>
      </c>
    </row>
    <row r="67" spans="1:24" s="503" customFormat="1" ht="35.25" customHeight="1" outlineLevel="1" x14ac:dyDescent="0.5">
      <c r="A67" s="481"/>
      <c r="B67" s="481"/>
      <c r="C67" s="505" t="s">
        <v>699</v>
      </c>
      <c r="D67" s="506" t="str">
        <f>VLOOKUP(C62,overview_of_services!$B$2:$I$88,5,FALSE)</f>
        <v>no grid sensor based charging</v>
      </c>
      <c r="E67" s="499">
        <v>0</v>
      </c>
      <c r="F67" s="499" t="s">
        <v>700</v>
      </c>
      <c r="G67" s="499" t="s">
        <v>704</v>
      </c>
      <c r="H67" s="499" t="s">
        <v>704</v>
      </c>
      <c r="I67" s="499">
        <v>0</v>
      </c>
      <c r="J67" s="499">
        <v>0</v>
      </c>
      <c r="K67" s="499">
        <v>0</v>
      </c>
      <c r="L67" s="530" t="s">
        <v>799</v>
      </c>
      <c r="M67" s="530" t="s">
        <v>799</v>
      </c>
      <c r="N67" s="531" t="s">
        <v>791</v>
      </c>
      <c r="O67" s="532" t="s">
        <v>721</v>
      </c>
      <c r="P67" s="504"/>
      <c r="R67" s="504">
        <f t="shared" si="9"/>
        <v>0</v>
      </c>
      <c r="S67" s="504">
        <f t="shared" si="9"/>
        <v>1</v>
      </c>
      <c r="T67" s="504">
        <f t="shared" si="10"/>
        <v>2</v>
      </c>
      <c r="U67" s="504">
        <f t="shared" si="10"/>
        <v>2</v>
      </c>
      <c r="V67" s="504">
        <f t="shared" si="10"/>
        <v>0</v>
      </c>
      <c r="W67" s="504">
        <f t="shared" si="10"/>
        <v>0</v>
      </c>
      <c r="X67" s="504">
        <f t="shared" si="10"/>
        <v>0</v>
      </c>
    </row>
    <row r="68" spans="1:24" s="503" customFormat="1" ht="35.25" customHeight="1" outlineLevel="1" x14ac:dyDescent="0.5">
      <c r="A68" s="481"/>
      <c r="B68" s="481"/>
      <c r="C68" s="505" t="s">
        <v>703</v>
      </c>
      <c r="D68" s="506" t="str">
        <f>VLOOKUP(C62,overview_of_services!$B$2:$I$88,6,FALSE)</f>
        <v>grid-sensor based charging</v>
      </c>
      <c r="E68" s="499">
        <v>0</v>
      </c>
      <c r="F68" s="499" t="s">
        <v>700</v>
      </c>
      <c r="G68" s="499" t="s">
        <v>704</v>
      </c>
      <c r="H68" s="499" t="s">
        <v>704</v>
      </c>
      <c r="I68" s="499">
        <v>0</v>
      </c>
      <c r="J68" s="499">
        <v>0</v>
      </c>
      <c r="K68" s="499">
        <v>0</v>
      </c>
      <c r="L68" s="530" t="s">
        <v>799</v>
      </c>
      <c r="M68" s="530" t="s">
        <v>799</v>
      </c>
      <c r="N68" s="531" t="s">
        <v>791</v>
      </c>
      <c r="O68" s="532" t="s">
        <v>721</v>
      </c>
      <c r="P68" s="504"/>
      <c r="R68" s="504">
        <f t="shared" si="9"/>
        <v>0</v>
      </c>
      <c r="S68" s="504">
        <f t="shared" si="9"/>
        <v>1</v>
      </c>
      <c r="T68" s="504">
        <f t="shared" si="10"/>
        <v>2</v>
      </c>
      <c r="U68" s="504">
        <f t="shared" si="10"/>
        <v>2</v>
      </c>
      <c r="V68" s="504">
        <f t="shared" si="10"/>
        <v>0</v>
      </c>
      <c r="W68" s="504">
        <f t="shared" si="10"/>
        <v>0</v>
      </c>
      <c r="X68" s="504">
        <f t="shared" si="10"/>
        <v>0</v>
      </c>
    </row>
    <row r="69" spans="1:24" s="503" customFormat="1" ht="35.25" customHeight="1" outlineLevel="1" x14ac:dyDescent="0.5">
      <c r="A69" s="481"/>
      <c r="B69" s="481"/>
      <c r="C69" s="505" t="s">
        <v>706</v>
      </c>
      <c r="D69" s="506">
        <f>VLOOKUP(C62,overview_of_services!$B$2:$I$88,7,FALSE)</f>
        <v>0</v>
      </c>
      <c r="E69" s="499"/>
      <c r="F69" s="499"/>
      <c r="G69" s="499"/>
      <c r="H69" s="499"/>
      <c r="I69" s="499"/>
      <c r="J69" s="499"/>
      <c r="K69" s="499"/>
      <c r="L69" s="500" t="s">
        <v>721</v>
      </c>
      <c r="M69" s="500" t="s">
        <v>721</v>
      </c>
      <c r="N69" s="501" t="s">
        <v>721</v>
      </c>
      <c r="O69" s="529" t="s">
        <v>721</v>
      </c>
      <c r="P69" s="504"/>
      <c r="R69" s="504">
        <f t="shared" si="9"/>
        <v>0</v>
      </c>
      <c r="S69" s="504">
        <f t="shared" si="9"/>
        <v>0</v>
      </c>
      <c r="T69" s="504">
        <f t="shared" si="10"/>
        <v>0</v>
      </c>
      <c r="U69" s="504">
        <f t="shared" si="10"/>
        <v>0</v>
      </c>
      <c r="V69" s="504">
        <f t="shared" si="10"/>
        <v>0</v>
      </c>
      <c r="W69" s="504">
        <f t="shared" si="10"/>
        <v>0</v>
      </c>
      <c r="X69" s="504">
        <f t="shared" si="10"/>
        <v>0</v>
      </c>
    </row>
    <row r="70" spans="1:24" s="503" customFormat="1" ht="35.25" customHeight="1" outlineLevel="1" x14ac:dyDescent="0.5">
      <c r="A70" s="481"/>
      <c r="B70" s="481"/>
      <c r="C70" s="505" t="s">
        <v>710</v>
      </c>
      <c r="D70" s="506">
        <f>VLOOKUP(C62,overview_of_services!$B$2:$I$88,8,FALSE)</f>
        <v>0</v>
      </c>
      <c r="E70" s="507"/>
      <c r="F70" s="499"/>
      <c r="G70" s="507"/>
      <c r="H70" s="507"/>
      <c r="I70" s="499"/>
      <c r="J70" s="499"/>
      <c r="K70" s="499"/>
      <c r="L70" s="500" t="s">
        <v>721</v>
      </c>
      <c r="M70" s="500" t="s">
        <v>721</v>
      </c>
      <c r="N70" s="501" t="s">
        <v>721</v>
      </c>
      <c r="O70" s="529" t="s">
        <v>721</v>
      </c>
      <c r="P70" s="504"/>
      <c r="R70" s="504">
        <f t="shared" si="9"/>
        <v>0</v>
      </c>
      <c r="S70" s="504">
        <f t="shared" si="9"/>
        <v>0</v>
      </c>
      <c r="T70" s="504">
        <f t="shared" si="10"/>
        <v>0</v>
      </c>
      <c r="U70" s="504">
        <f t="shared" si="10"/>
        <v>0</v>
      </c>
      <c r="V70" s="504">
        <f t="shared" si="10"/>
        <v>0</v>
      </c>
      <c r="W70" s="504">
        <f t="shared" si="10"/>
        <v>0</v>
      </c>
      <c r="X70" s="504">
        <f t="shared" si="10"/>
        <v>0</v>
      </c>
    </row>
    <row r="71" spans="1:24" s="503" customFormat="1" ht="6" customHeight="1" outlineLevel="2" thickBot="1" x14ac:dyDescent="0.4">
      <c r="A71" s="481"/>
      <c r="B71" s="481"/>
      <c r="C71" s="504"/>
      <c r="D71" s="504"/>
      <c r="E71" s="508"/>
      <c r="F71" s="508"/>
      <c r="G71" s="508"/>
      <c r="H71" s="508"/>
      <c r="I71" s="508"/>
      <c r="J71" s="508"/>
      <c r="K71" s="508"/>
      <c r="L71" s="504"/>
      <c r="M71" s="504"/>
      <c r="N71" s="504"/>
      <c r="O71" s="504"/>
      <c r="P71" s="504"/>
    </row>
    <row r="72" spans="1:24" s="503" customFormat="1" ht="30.75" customHeight="1" outlineLevel="2" thickBot="1" x14ac:dyDescent="0.4">
      <c r="A72" s="481"/>
      <c r="B72" s="481"/>
      <c r="C72" s="509"/>
      <c r="D72" s="509" t="s">
        <v>712</v>
      </c>
      <c r="E72" s="511" t="s">
        <v>729</v>
      </c>
      <c r="F72" s="511" t="s">
        <v>729</v>
      </c>
      <c r="G72" s="511" t="s">
        <v>729</v>
      </c>
      <c r="H72" s="511" t="s">
        <v>729</v>
      </c>
      <c r="I72" s="511" t="s">
        <v>729</v>
      </c>
      <c r="J72" s="511" t="s">
        <v>729</v>
      </c>
      <c r="K72" s="511" t="s">
        <v>729</v>
      </c>
      <c r="L72" s="511" t="s">
        <v>729</v>
      </c>
      <c r="M72" s="511" t="s">
        <v>729</v>
      </c>
      <c r="N72" s="511" t="s">
        <v>729</v>
      </c>
      <c r="O72" s="513"/>
      <c r="P72" s="504"/>
    </row>
    <row r="73" spans="1:24" s="503" customFormat="1" ht="30.75" customHeight="1" outlineLevel="2" thickBot="1" x14ac:dyDescent="0.4">
      <c r="A73" s="481"/>
      <c r="B73" s="481"/>
      <c r="C73" s="509"/>
      <c r="D73" s="509" t="s">
        <v>714</v>
      </c>
      <c r="E73" s="510"/>
      <c r="F73" s="512"/>
      <c r="G73" s="511"/>
      <c r="H73" s="511"/>
      <c r="I73" s="511"/>
      <c r="J73" s="511"/>
      <c r="K73" s="511"/>
      <c r="L73" s="517"/>
      <c r="M73" s="518"/>
      <c r="N73" s="513"/>
      <c r="O73" s="513"/>
      <c r="P73" s="504"/>
    </row>
    <row r="74" spans="1:24" ht="20.25" customHeight="1" outlineLevel="1" thickBot="1" x14ac:dyDescent="0.4">
      <c r="C74" s="481"/>
      <c r="D74" s="481"/>
      <c r="E74" s="481"/>
      <c r="F74" s="481"/>
      <c r="G74" s="482"/>
      <c r="H74" s="482"/>
      <c r="I74" s="482"/>
      <c r="J74" s="482"/>
      <c r="K74" s="482"/>
      <c r="L74" s="482"/>
      <c r="M74" s="482"/>
      <c r="N74" s="482"/>
      <c r="O74" s="481"/>
      <c r="P74" s="481"/>
    </row>
    <row r="75" spans="1:24" ht="17.25" customHeight="1" thickBot="1" x14ac:dyDescent="0.4">
      <c r="C75" s="483" t="s">
        <v>677</v>
      </c>
      <c r="D75" s="484" t="s">
        <v>678</v>
      </c>
      <c r="E75" s="481"/>
      <c r="F75" s="481"/>
      <c r="G75" s="482"/>
      <c r="H75" s="482"/>
      <c r="I75" s="482"/>
      <c r="J75" s="482"/>
      <c r="K75" s="482"/>
      <c r="L75" s="482"/>
      <c r="M75" s="482"/>
      <c r="N75" s="482"/>
      <c r="O75" s="481"/>
      <c r="P75" s="481"/>
    </row>
    <row r="76" spans="1:24" s="492" customFormat="1" ht="36.75" customHeight="1" thickBot="1" x14ac:dyDescent="0.7">
      <c r="A76" s="481"/>
      <c r="B76" s="486" t="s">
        <v>679</v>
      </c>
      <c r="C76" s="487" t="s">
        <v>416</v>
      </c>
      <c r="D76" s="514" t="s">
        <v>418</v>
      </c>
      <c r="E76" s="489"/>
      <c r="F76" s="490" t="s">
        <v>680</v>
      </c>
      <c r="G76" s="578" t="str">
        <f>VLOOKUP(C76,overview_of_services!$B$2:$I$88,2,FALSE)</f>
        <v>EV Charging - Grid</v>
      </c>
      <c r="H76" s="578"/>
      <c r="I76" s="490"/>
      <c r="J76" s="491"/>
      <c r="K76" s="491"/>
      <c r="L76" s="491"/>
      <c r="M76" s="491"/>
      <c r="N76" s="491"/>
      <c r="R76" s="492" t="s">
        <v>681</v>
      </c>
      <c r="S76" s="492">
        <f>ROW()</f>
        <v>76</v>
      </c>
    </row>
    <row r="77" spans="1:24" ht="5.25" customHeight="1" x14ac:dyDescent="0.35">
      <c r="C77" s="493"/>
      <c r="D77" s="493"/>
      <c r="E77" s="493"/>
      <c r="F77" s="493"/>
      <c r="G77" s="493"/>
      <c r="H77" s="493"/>
      <c r="I77" s="493"/>
      <c r="J77" s="493"/>
      <c r="K77" s="493"/>
      <c r="L77" s="493"/>
      <c r="M77" s="493"/>
      <c r="N77" s="493"/>
      <c r="O77" s="493"/>
      <c r="P77" s="481"/>
    </row>
    <row r="78" spans="1:24" ht="20.25" customHeight="1" outlineLevel="1" x14ac:dyDescent="0.35">
      <c r="C78" s="575" t="s">
        <v>682</v>
      </c>
      <c r="D78" s="575"/>
      <c r="E78" s="577" t="s">
        <v>683</v>
      </c>
      <c r="F78" s="577"/>
      <c r="G78" s="577"/>
      <c r="H78" s="577"/>
      <c r="I78" s="577"/>
      <c r="J78" s="577"/>
      <c r="K78" s="577"/>
      <c r="L78" s="573" t="s">
        <v>684</v>
      </c>
      <c r="M78" s="574"/>
      <c r="N78" s="569" t="s">
        <v>685</v>
      </c>
      <c r="O78" s="571" t="s">
        <v>686</v>
      </c>
      <c r="P78" s="481"/>
    </row>
    <row r="79" spans="1:24" ht="36.75" customHeight="1" outlineLevel="1" thickBot="1" x14ac:dyDescent="0.4">
      <c r="C79" s="576"/>
      <c r="D79" s="576"/>
      <c r="E79" s="495" t="s">
        <v>687</v>
      </c>
      <c r="F79" s="495" t="s">
        <v>688</v>
      </c>
      <c r="G79" s="495" t="s">
        <v>689</v>
      </c>
      <c r="H79" s="495" t="s">
        <v>690</v>
      </c>
      <c r="I79" s="495" t="s">
        <v>616</v>
      </c>
      <c r="J79" s="495" t="s">
        <v>691</v>
      </c>
      <c r="K79" s="495" t="s">
        <v>692</v>
      </c>
      <c r="L79" s="496" t="s">
        <v>693</v>
      </c>
      <c r="M79" s="496" t="s">
        <v>694</v>
      </c>
      <c r="N79" s="570"/>
      <c r="O79" s="572"/>
      <c r="P79" s="481"/>
    </row>
    <row r="80" spans="1:24" s="503" customFormat="1" ht="35.25" customHeight="1" outlineLevel="1" thickTop="1" x14ac:dyDescent="0.5">
      <c r="A80" s="481"/>
      <c r="B80" s="481"/>
      <c r="C80" s="497" t="s">
        <v>695</v>
      </c>
      <c r="D80" s="498" t="str">
        <f>VLOOKUP(C76,overview_of_services!$B$2:$I$88,4,FALSE)</f>
        <v>None</v>
      </c>
      <c r="E80" s="499">
        <v>0</v>
      </c>
      <c r="F80" s="499">
        <v>0</v>
      </c>
      <c r="G80" s="499">
        <v>0</v>
      </c>
      <c r="H80" s="499">
        <v>0</v>
      </c>
      <c r="I80" s="499">
        <v>0</v>
      </c>
      <c r="J80" s="499">
        <v>0</v>
      </c>
      <c r="K80" s="499">
        <v>0</v>
      </c>
      <c r="L80" s="530" t="s">
        <v>696</v>
      </c>
      <c r="M80" s="530" t="s">
        <v>696</v>
      </c>
      <c r="N80" s="531">
        <v>0</v>
      </c>
      <c r="O80" s="532" t="s">
        <v>721</v>
      </c>
      <c r="P80" s="504"/>
      <c r="R80" s="504">
        <f t="shared" ref="R80:S84" si="11">IF(E80=0,0,(IF(E80="+",1,(IF(E80="++",2,(IF(E80="+++",3,(IF(E80="++++",4,(IF(E80="-",-1,(IF(E80="--",-2,(IF(E80="---",-3,(IF(E80="----",-4,"NA")))))))))))))))))</f>
        <v>0</v>
      </c>
      <c r="S80" s="504">
        <f t="shared" si="11"/>
        <v>0</v>
      </c>
      <c r="T80" s="504">
        <f t="shared" ref="T80:X84" si="12">IF(G80=0,0,(IF(G80="+",1,(IF(G80="++",2,(IF(G80="+++",3,(IF(G80="++++",4,(IF(G80="-",-1,(IF(G80="--",-2,(IF(G80="---",-3,(IF(G80="----",-4,"NA")))))))))))))))))</f>
        <v>0</v>
      </c>
      <c r="U80" s="504">
        <f t="shared" si="12"/>
        <v>0</v>
      </c>
      <c r="V80" s="504">
        <f t="shared" si="12"/>
        <v>0</v>
      </c>
      <c r="W80" s="504">
        <f t="shared" si="12"/>
        <v>0</v>
      </c>
      <c r="X80" s="504">
        <f t="shared" si="12"/>
        <v>0</v>
      </c>
    </row>
    <row r="81" spans="1:24" s="503" customFormat="1" ht="35.25" customHeight="1" outlineLevel="1" x14ac:dyDescent="0.5">
      <c r="A81" s="481"/>
      <c r="B81" s="481"/>
      <c r="C81" s="505" t="s">
        <v>699</v>
      </c>
      <c r="D81" s="506" t="str">
        <f>VLOOKUP(C76,overview_of_services!$B$2:$I$88,5,FALSE)</f>
        <v>grid optimized operations</v>
      </c>
      <c r="E81" s="499">
        <v>0</v>
      </c>
      <c r="F81" s="499" t="s">
        <v>707</v>
      </c>
      <c r="G81" s="499">
        <v>0</v>
      </c>
      <c r="H81" s="499">
        <v>0</v>
      </c>
      <c r="I81" s="499">
        <v>0</v>
      </c>
      <c r="J81" s="499">
        <v>0</v>
      </c>
      <c r="K81" s="499">
        <v>0</v>
      </c>
      <c r="L81" s="530" t="s">
        <v>697</v>
      </c>
      <c r="M81" s="530" t="s">
        <v>797</v>
      </c>
      <c r="N81" s="531" t="s">
        <v>796</v>
      </c>
      <c r="O81" s="532" t="s">
        <v>721</v>
      </c>
      <c r="P81" s="504"/>
      <c r="R81" s="504">
        <f t="shared" si="11"/>
        <v>0</v>
      </c>
      <c r="S81" s="504">
        <f t="shared" si="11"/>
        <v>3</v>
      </c>
      <c r="T81" s="504">
        <f t="shared" si="12"/>
        <v>0</v>
      </c>
      <c r="U81" s="504">
        <f t="shared" si="12"/>
        <v>0</v>
      </c>
      <c r="V81" s="504">
        <f t="shared" si="12"/>
        <v>0</v>
      </c>
      <c r="W81" s="504">
        <f t="shared" si="12"/>
        <v>0</v>
      </c>
      <c r="X81" s="504">
        <f t="shared" si="12"/>
        <v>0</v>
      </c>
    </row>
    <row r="82" spans="1:24" s="503" customFormat="1" ht="35.25" customHeight="1" outlineLevel="1" x14ac:dyDescent="0.5">
      <c r="A82" s="481"/>
      <c r="B82" s="481"/>
      <c r="C82" s="505" t="s">
        <v>703</v>
      </c>
      <c r="D82" s="506" t="str">
        <f>VLOOKUP(C76,overview_of_services!$B$2:$I$88,6,FALSE)</f>
        <v>grid and battery lifecycle optimized behaviour</v>
      </c>
      <c r="E82" s="499">
        <v>0</v>
      </c>
      <c r="F82" s="499" t="s">
        <v>707</v>
      </c>
      <c r="G82" s="499">
        <v>0</v>
      </c>
      <c r="H82" s="499">
        <v>0</v>
      </c>
      <c r="I82" s="499">
        <v>0</v>
      </c>
      <c r="J82" s="499">
        <v>0</v>
      </c>
      <c r="K82" s="499">
        <v>0</v>
      </c>
      <c r="L82" s="530" t="s">
        <v>697</v>
      </c>
      <c r="M82" s="530" t="s">
        <v>797</v>
      </c>
      <c r="N82" s="531" t="s">
        <v>796</v>
      </c>
      <c r="O82" s="532" t="s">
        <v>721</v>
      </c>
      <c r="P82" s="504"/>
      <c r="R82" s="504">
        <f t="shared" si="11"/>
        <v>0</v>
      </c>
      <c r="S82" s="504">
        <f t="shared" si="11"/>
        <v>3</v>
      </c>
      <c r="T82" s="504">
        <f t="shared" si="12"/>
        <v>0</v>
      </c>
      <c r="U82" s="504">
        <f t="shared" si="12"/>
        <v>0</v>
      </c>
      <c r="V82" s="504">
        <f t="shared" si="12"/>
        <v>0</v>
      </c>
      <c r="W82" s="504">
        <f t="shared" si="12"/>
        <v>0</v>
      </c>
      <c r="X82" s="504">
        <f t="shared" si="12"/>
        <v>0</v>
      </c>
    </row>
    <row r="83" spans="1:24" s="503" customFormat="1" ht="35.25" customHeight="1" outlineLevel="1" x14ac:dyDescent="0.5">
      <c r="A83" s="481"/>
      <c r="B83" s="481"/>
      <c r="C83" s="505" t="s">
        <v>706</v>
      </c>
      <c r="D83" s="506">
        <f>VLOOKUP(C76,overview_of_services!$B$2:$I$88,7,FALSE)</f>
        <v>0</v>
      </c>
      <c r="E83" s="499"/>
      <c r="F83" s="499"/>
      <c r="G83" s="499"/>
      <c r="H83" s="499"/>
      <c r="I83" s="499"/>
      <c r="J83" s="499"/>
      <c r="K83" s="499"/>
      <c r="L83" s="500" t="s">
        <v>721</v>
      </c>
      <c r="M83" s="500" t="s">
        <v>721</v>
      </c>
      <c r="N83" s="501" t="s">
        <v>721</v>
      </c>
      <c r="O83" s="529" t="s">
        <v>721</v>
      </c>
      <c r="P83" s="504"/>
      <c r="R83" s="504">
        <f t="shared" si="11"/>
        <v>0</v>
      </c>
      <c r="S83" s="504">
        <f t="shared" si="11"/>
        <v>0</v>
      </c>
      <c r="T83" s="504">
        <f t="shared" si="12"/>
        <v>0</v>
      </c>
      <c r="U83" s="504">
        <f t="shared" si="12"/>
        <v>0</v>
      </c>
      <c r="V83" s="504">
        <f t="shared" si="12"/>
        <v>0</v>
      </c>
      <c r="W83" s="504">
        <f t="shared" si="12"/>
        <v>0</v>
      </c>
      <c r="X83" s="504">
        <f t="shared" si="12"/>
        <v>0</v>
      </c>
    </row>
    <row r="84" spans="1:24" s="503" customFormat="1" ht="35.25" customHeight="1" outlineLevel="1" x14ac:dyDescent="0.5">
      <c r="A84" s="481"/>
      <c r="B84" s="481"/>
      <c r="C84" s="505" t="s">
        <v>710</v>
      </c>
      <c r="D84" s="506">
        <f>VLOOKUP(C76,overview_of_services!$B$2:$I$88,8,FALSE)</f>
        <v>0</v>
      </c>
      <c r="E84" s="507"/>
      <c r="F84" s="499"/>
      <c r="G84" s="507"/>
      <c r="H84" s="507"/>
      <c r="I84" s="499"/>
      <c r="J84" s="499"/>
      <c r="K84" s="499"/>
      <c r="L84" s="500" t="s">
        <v>721</v>
      </c>
      <c r="M84" s="500" t="s">
        <v>721</v>
      </c>
      <c r="N84" s="501" t="s">
        <v>721</v>
      </c>
      <c r="O84" s="529" t="s">
        <v>721</v>
      </c>
      <c r="P84" s="504"/>
      <c r="R84" s="504">
        <f t="shared" si="11"/>
        <v>0</v>
      </c>
      <c r="S84" s="504">
        <f t="shared" si="11"/>
        <v>0</v>
      </c>
      <c r="T84" s="504">
        <f t="shared" si="12"/>
        <v>0</v>
      </c>
      <c r="U84" s="504">
        <f t="shared" si="12"/>
        <v>0</v>
      </c>
      <c r="V84" s="504">
        <f t="shared" si="12"/>
        <v>0</v>
      </c>
      <c r="W84" s="504">
        <f t="shared" si="12"/>
        <v>0</v>
      </c>
      <c r="X84" s="504">
        <f t="shared" si="12"/>
        <v>0</v>
      </c>
    </row>
    <row r="85" spans="1:24" s="503" customFormat="1" ht="6" customHeight="1" outlineLevel="2" thickBot="1" x14ac:dyDescent="0.4">
      <c r="A85" s="481"/>
      <c r="B85" s="481"/>
      <c r="C85" s="504"/>
      <c r="D85" s="504"/>
      <c r="E85" s="508"/>
      <c r="F85" s="508"/>
      <c r="G85" s="508"/>
      <c r="H85" s="508"/>
      <c r="I85" s="508"/>
      <c r="J85" s="508"/>
      <c r="K85" s="508"/>
      <c r="L85" s="504"/>
      <c r="M85" s="504"/>
      <c r="N85" s="504"/>
      <c r="O85" s="504"/>
      <c r="P85" s="504"/>
    </row>
    <row r="86" spans="1:24" s="503" customFormat="1" ht="30.75" customHeight="1" outlineLevel="2" thickBot="1" x14ac:dyDescent="0.4">
      <c r="A86" s="481"/>
      <c r="B86" s="481"/>
      <c r="C86" s="509"/>
      <c r="D86" s="509" t="s">
        <v>712</v>
      </c>
      <c r="E86" s="511" t="s">
        <v>729</v>
      </c>
      <c r="F86" s="511" t="s">
        <v>729</v>
      </c>
      <c r="G86" s="511" t="s">
        <v>729</v>
      </c>
      <c r="H86" s="511" t="s">
        <v>729</v>
      </c>
      <c r="I86" s="511" t="s">
        <v>729</v>
      </c>
      <c r="J86" s="511" t="s">
        <v>729</v>
      </c>
      <c r="K86" s="511" t="s">
        <v>729</v>
      </c>
      <c r="L86" s="511" t="s">
        <v>729</v>
      </c>
      <c r="M86" s="511" t="s">
        <v>729</v>
      </c>
      <c r="N86" s="511" t="s">
        <v>729</v>
      </c>
      <c r="O86" s="513"/>
      <c r="P86" s="504"/>
    </row>
    <row r="87" spans="1:24" s="503" customFormat="1" ht="30.75" customHeight="1" outlineLevel="2" thickBot="1" x14ac:dyDescent="0.4">
      <c r="A87" s="481"/>
      <c r="B87" s="481"/>
      <c r="C87" s="509"/>
      <c r="D87" s="509" t="s">
        <v>714</v>
      </c>
      <c r="E87" s="510"/>
      <c r="F87" s="512"/>
      <c r="G87" s="511"/>
      <c r="H87" s="511"/>
      <c r="I87" s="511"/>
      <c r="J87" s="511"/>
      <c r="K87" s="511"/>
      <c r="L87" s="517"/>
      <c r="M87" s="518"/>
      <c r="N87" s="513"/>
      <c r="O87" s="513"/>
      <c r="P87" s="504"/>
    </row>
    <row r="88" spans="1:24" ht="20.25" customHeight="1" outlineLevel="1" thickBot="1" x14ac:dyDescent="0.4">
      <c r="C88" s="481"/>
      <c r="D88" s="481"/>
      <c r="E88" s="481"/>
      <c r="F88" s="481"/>
      <c r="G88" s="482"/>
      <c r="H88" s="482"/>
      <c r="I88" s="482"/>
      <c r="J88" s="482"/>
      <c r="K88" s="482"/>
      <c r="L88" s="482"/>
      <c r="M88" s="482"/>
      <c r="N88" s="482"/>
      <c r="O88" s="481"/>
      <c r="P88" s="481"/>
    </row>
    <row r="89" spans="1:24" ht="17.25" customHeight="1" thickBot="1" x14ac:dyDescent="0.4">
      <c r="C89" s="483" t="s">
        <v>677</v>
      </c>
      <c r="D89" s="484" t="s">
        <v>678</v>
      </c>
      <c r="E89" s="481"/>
      <c r="F89" s="481"/>
      <c r="G89" s="482"/>
      <c r="H89" s="482"/>
      <c r="I89" s="482"/>
      <c r="J89" s="482"/>
      <c r="K89" s="482"/>
      <c r="L89" s="482"/>
      <c r="M89" s="482"/>
      <c r="N89" s="482"/>
      <c r="O89" s="481"/>
      <c r="P89" s="481"/>
    </row>
    <row r="90" spans="1:24" s="492" customFormat="1" ht="36.75" customHeight="1" thickBot="1" x14ac:dyDescent="0.7">
      <c r="A90" s="481"/>
      <c r="B90" s="486" t="s">
        <v>679</v>
      </c>
      <c r="C90" s="487" t="s">
        <v>421</v>
      </c>
      <c r="D90" s="514" t="s">
        <v>422</v>
      </c>
      <c r="E90" s="489"/>
      <c r="F90" s="490" t="s">
        <v>680</v>
      </c>
      <c r="G90" s="578" t="str">
        <f>VLOOKUP(C90,overview_of_services!$B$2:$I$88,2,FALSE)</f>
        <v>EV Charging - non Grid sensors</v>
      </c>
      <c r="H90" s="578"/>
      <c r="I90" s="490"/>
      <c r="J90" s="491"/>
      <c r="K90" s="491"/>
      <c r="L90" s="491"/>
      <c r="M90" s="491"/>
      <c r="N90" s="491"/>
      <c r="R90" s="492" t="s">
        <v>681</v>
      </c>
      <c r="S90" s="492">
        <f>ROW()</f>
        <v>90</v>
      </c>
    </row>
    <row r="91" spans="1:24" ht="5.25" customHeight="1" x14ac:dyDescent="0.35">
      <c r="C91" s="493"/>
      <c r="D91" s="493"/>
      <c r="E91" s="493"/>
      <c r="F91" s="493"/>
      <c r="G91" s="493"/>
      <c r="H91" s="493"/>
      <c r="I91" s="493"/>
      <c r="J91" s="493"/>
      <c r="K91" s="493"/>
      <c r="L91" s="493"/>
      <c r="M91" s="493"/>
      <c r="N91" s="493"/>
      <c r="O91" s="493"/>
      <c r="P91" s="481"/>
    </row>
    <row r="92" spans="1:24" ht="20.25" customHeight="1" outlineLevel="1" x14ac:dyDescent="0.35">
      <c r="C92" s="575" t="s">
        <v>682</v>
      </c>
      <c r="D92" s="575"/>
      <c r="E92" s="577" t="s">
        <v>683</v>
      </c>
      <c r="F92" s="577"/>
      <c r="G92" s="577"/>
      <c r="H92" s="577"/>
      <c r="I92" s="577"/>
      <c r="J92" s="577"/>
      <c r="K92" s="577"/>
      <c r="L92" s="573" t="s">
        <v>684</v>
      </c>
      <c r="M92" s="574"/>
      <c r="N92" s="569" t="s">
        <v>685</v>
      </c>
      <c r="O92" s="571" t="s">
        <v>686</v>
      </c>
      <c r="P92" s="481"/>
    </row>
    <row r="93" spans="1:24" ht="36.75" customHeight="1" outlineLevel="1" thickBot="1" x14ac:dyDescent="0.4">
      <c r="C93" s="576"/>
      <c r="D93" s="576"/>
      <c r="E93" s="495" t="s">
        <v>687</v>
      </c>
      <c r="F93" s="495" t="s">
        <v>688</v>
      </c>
      <c r="G93" s="495" t="s">
        <v>689</v>
      </c>
      <c r="H93" s="495" t="s">
        <v>690</v>
      </c>
      <c r="I93" s="495" t="s">
        <v>616</v>
      </c>
      <c r="J93" s="495" t="s">
        <v>691</v>
      </c>
      <c r="K93" s="495" t="s">
        <v>692</v>
      </c>
      <c r="L93" s="496" t="s">
        <v>693</v>
      </c>
      <c r="M93" s="496" t="s">
        <v>694</v>
      </c>
      <c r="N93" s="570"/>
      <c r="O93" s="572"/>
      <c r="P93" s="481"/>
    </row>
    <row r="94" spans="1:24" s="503" customFormat="1" ht="35.25" customHeight="1" outlineLevel="1" thickTop="1" x14ac:dyDescent="0.5">
      <c r="A94" s="481"/>
      <c r="B94" s="481"/>
      <c r="C94" s="497" t="s">
        <v>695</v>
      </c>
      <c r="D94" s="498" t="str">
        <f>VLOOKUP(C90,overview_of_services!$B$2:$I$88,4,FALSE)</f>
        <v>None</v>
      </c>
      <c r="E94" s="499">
        <v>0</v>
      </c>
      <c r="F94" s="499">
        <v>0</v>
      </c>
      <c r="G94" s="499">
        <v>0</v>
      </c>
      <c r="H94" s="499">
        <v>0</v>
      </c>
      <c r="I94" s="499">
        <v>0</v>
      </c>
      <c r="J94" s="499">
        <v>0</v>
      </c>
      <c r="K94" s="499">
        <v>0</v>
      </c>
      <c r="L94" s="530" t="s">
        <v>696</v>
      </c>
      <c r="M94" s="530" t="s">
        <v>696</v>
      </c>
      <c r="N94" s="531">
        <v>0</v>
      </c>
      <c r="O94" s="532" t="s">
        <v>721</v>
      </c>
      <c r="P94" s="504"/>
      <c r="R94" s="504">
        <f t="shared" ref="R94:S98" si="13">IF(E94=0,0,(IF(E94="+",1,(IF(E94="++",2,(IF(E94="+++",3,(IF(E94="++++",4,(IF(E94="-",-1,(IF(E94="--",-2,(IF(E94="---",-3,(IF(E94="----",-4,"NA")))))))))))))))))</f>
        <v>0</v>
      </c>
      <c r="S94" s="504">
        <f t="shared" si="13"/>
        <v>0</v>
      </c>
      <c r="T94" s="504">
        <f t="shared" ref="T94:X98" si="14">IF(G94=0,0,(IF(G94="+",1,(IF(G94="++",2,(IF(G94="+++",3,(IF(G94="++++",4,(IF(G94="-",-1,(IF(G94="--",-2,(IF(G94="---",-3,(IF(G94="----",-4,"NA")))))))))))))))))</f>
        <v>0</v>
      </c>
      <c r="U94" s="504">
        <f t="shared" si="14"/>
        <v>0</v>
      </c>
      <c r="V94" s="504">
        <f t="shared" si="14"/>
        <v>0</v>
      </c>
      <c r="W94" s="504">
        <f t="shared" si="14"/>
        <v>0</v>
      </c>
      <c r="X94" s="504">
        <f t="shared" si="14"/>
        <v>0</v>
      </c>
    </row>
    <row r="95" spans="1:24" s="503" customFormat="1" ht="35.25" customHeight="1" outlineLevel="1" x14ac:dyDescent="0.5">
      <c r="A95" s="481"/>
      <c r="B95" s="481"/>
      <c r="C95" s="505" t="s">
        <v>699</v>
      </c>
      <c r="D95" s="506" t="str">
        <f>VLOOKUP(C90,overview_of_services!$B$2:$I$88,5,FALSE)</f>
        <v>car-lifecycle otpmization</v>
      </c>
      <c r="E95" s="499">
        <v>0</v>
      </c>
      <c r="F95" s="499" t="s">
        <v>700</v>
      </c>
      <c r="G95" s="499">
        <v>0</v>
      </c>
      <c r="H95" s="499">
        <v>0</v>
      </c>
      <c r="I95" s="499">
        <v>0</v>
      </c>
      <c r="J95" s="499" t="s">
        <v>704</v>
      </c>
      <c r="K95" s="499">
        <v>0</v>
      </c>
      <c r="L95" s="530" t="s">
        <v>807</v>
      </c>
      <c r="M95" s="530" t="s">
        <v>807</v>
      </c>
      <c r="N95" s="531" t="s">
        <v>807</v>
      </c>
      <c r="O95" s="532" t="s">
        <v>721</v>
      </c>
      <c r="P95" s="504"/>
      <c r="R95" s="504">
        <f t="shared" si="13"/>
        <v>0</v>
      </c>
      <c r="S95" s="504">
        <f t="shared" si="13"/>
        <v>1</v>
      </c>
      <c r="T95" s="504">
        <f t="shared" si="14"/>
        <v>0</v>
      </c>
      <c r="U95" s="504">
        <f t="shared" si="14"/>
        <v>0</v>
      </c>
      <c r="V95" s="504">
        <f t="shared" si="14"/>
        <v>0</v>
      </c>
      <c r="W95" s="504">
        <f t="shared" si="14"/>
        <v>2</v>
      </c>
      <c r="X95" s="504">
        <f t="shared" si="14"/>
        <v>0</v>
      </c>
    </row>
    <row r="96" spans="1:24" s="503" customFormat="1" ht="35.25" customHeight="1" outlineLevel="1" x14ac:dyDescent="0.5">
      <c r="A96" s="481"/>
      <c r="B96" s="481"/>
      <c r="C96" s="505" t="s">
        <v>703</v>
      </c>
      <c r="D96" s="506" t="str">
        <f>VLOOKUP(C90,overview_of_services!$B$2:$I$88,6,FALSE)</f>
        <v>car and grid lifecycle optimization</v>
      </c>
      <c r="E96" s="499">
        <v>0</v>
      </c>
      <c r="F96" s="499" t="s">
        <v>704</v>
      </c>
      <c r="G96" s="499">
        <v>0</v>
      </c>
      <c r="H96" s="499">
        <v>0</v>
      </c>
      <c r="I96" s="499">
        <v>0</v>
      </c>
      <c r="J96" s="499" t="s">
        <v>700</v>
      </c>
      <c r="K96" s="499">
        <v>0</v>
      </c>
      <c r="L96" s="530" t="s">
        <v>807</v>
      </c>
      <c r="M96" s="530" t="s">
        <v>807</v>
      </c>
      <c r="N96" s="531" t="s">
        <v>807</v>
      </c>
      <c r="O96" s="532" t="s">
        <v>721</v>
      </c>
      <c r="P96" s="504"/>
      <c r="R96" s="504">
        <f t="shared" si="13"/>
        <v>0</v>
      </c>
      <c r="S96" s="504">
        <f t="shared" si="13"/>
        <v>2</v>
      </c>
      <c r="T96" s="504">
        <f t="shared" si="14"/>
        <v>0</v>
      </c>
      <c r="U96" s="504">
        <f t="shared" si="14"/>
        <v>0</v>
      </c>
      <c r="V96" s="504">
        <f t="shared" si="14"/>
        <v>0</v>
      </c>
      <c r="W96" s="504">
        <f t="shared" si="14"/>
        <v>1</v>
      </c>
      <c r="X96" s="504">
        <f t="shared" si="14"/>
        <v>0</v>
      </c>
    </row>
    <row r="97" spans="1:24" s="503" customFormat="1" ht="35.25" customHeight="1" outlineLevel="1" x14ac:dyDescent="0.5">
      <c r="A97" s="481"/>
      <c r="B97" s="481"/>
      <c r="C97" s="505" t="s">
        <v>706</v>
      </c>
      <c r="D97" s="506">
        <f>VLOOKUP(C90,overview_of_services!$B$2:$I$88,7,FALSE)</f>
        <v>0</v>
      </c>
      <c r="E97" s="499"/>
      <c r="F97" s="499"/>
      <c r="G97" s="499"/>
      <c r="H97" s="499"/>
      <c r="I97" s="499"/>
      <c r="J97" s="499"/>
      <c r="K97" s="499"/>
      <c r="L97" s="500" t="s">
        <v>721</v>
      </c>
      <c r="M97" s="500" t="s">
        <v>721</v>
      </c>
      <c r="N97" s="501" t="s">
        <v>721</v>
      </c>
      <c r="O97" s="529" t="s">
        <v>721</v>
      </c>
      <c r="P97" s="504"/>
      <c r="R97" s="504">
        <f t="shared" si="13"/>
        <v>0</v>
      </c>
      <c r="S97" s="504">
        <f t="shared" si="13"/>
        <v>0</v>
      </c>
      <c r="T97" s="504">
        <f t="shared" si="14"/>
        <v>0</v>
      </c>
      <c r="U97" s="504">
        <f t="shared" si="14"/>
        <v>0</v>
      </c>
      <c r="V97" s="504">
        <f t="shared" si="14"/>
        <v>0</v>
      </c>
      <c r="W97" s="504">
        <f t="shared" si="14"/>
        <v>0</v>
      </c>
      <c r="X97" s="504">
        <f t="shared" si="14"/>
        <v>0</v>
      </c>
    </row>
    <row r="98" spans="1:24" s="503" customFormat="1" ht="35.25" customHeight="1" outlineLevel="1" x14ac:dyDescent="0.5">
      <c r="A98" s="481"/>
      <c r="B98" s="481"/>
      <c r="C98" s="505" t="s">
        <v>710</v>
      </c>
      <c r="D98" s="506">
        <f>VLOOKUP(C90,overview_of_services!$B$2:$I$88,8,FALSE)</f>
        <v>0</v>
      </c>
      <c r="E98" s="507"/>
      <c r="F98" s="499"/>
      <c r="G98" s="507"/>
      <c r="H98" s="507"/>
      <c r="I98" s="499"/>
      <c r="J98" s="499"/>
      <c r="K98" s="499"/>
      <c r="L98" s="500" t="s">
        <v>721</v>
      </c>
      <c r="M98" s="500" t="s">
        <v>721</v>
      </c>
      <c r="N98" s="501" t="s">
        <v>721</v>
      </c>
      <c r="O98" s="529" t="s">
        <v>721</v>
      </c>
      <c r="P98" s="504"/>
      <c r="R98" s="504">
        <f t="shared" si="13"/>
        <v>0</v>
      </c>
      <c r="S98" s="504">
        <f t="shared" si="13"/>
        <v>0</v>
      </c>
      <c r="T98" s="504">
        <f t="shared" si="14"/>
        <v>0</v>
      </c>
      <c r="U98" s="504">
        <f t="shared" si="14"/>
        <v>0</v>
      </c>
      <c r="V98" s="504">
        <f t="shared" si="14"/>
        <v>0</v>
      </c>
      <c r="W98" s="504">
        <f t="shared" si="14"/>
        <v>0</v>
      </c>
      <c r="X98" s="504">
        <f t="shared" si="14"/>
        <v>0</v>
      </c>
    </row>
    <row r="99" spans="1:24" s="503" customFormat="1" ht="6" customHeight="1" outlineLevel="2" thickBot="1" x14ac:dyDescent="0.4">
      <c r="A99" s="481"/>
      <c r="B99" s="481"/>
      <c r="C99" s="504"/>
      <c r="D99" s="504"/>
      <c r="E99" s="508"/>
      <c r="F99" s="508"/>
      <c r="G99" s="508"/>
      <c r="H99" s="508"/>
      <c r="I99" s="508"/>
      <c r="J99" s="508"/>
      <c r="K99" s="508"/>
      <c r="L99" s="504"/>
      <c r="M99" s="504"/>
      <c r="N99" s="504"/>
      <c r="O99" s="504"/>
      <c r="P99" s="504"/>
    </row>
    <row r="100" spans="1:24" s="503" customFormat="1" ht="30.75" customHeight="1" outlineLevel="2" thickBot="1" x14ac:dyDescent="0.4">
      <c r="A100" s="481"/>
      <c r="B100" s="481"/>
      <c r="C100" s="509"/>
      <c r="D100" s="509" t="s">
        <v>712</v>
      </c>
      <c r="E100" s="511" t="s">
        <v>729</v>
      </c>
      <c r="F100" s="511" t="s">
        <v>729</v>
      </c>
      <c r="G100" s="511" t="s">
        <v>729</v>
      </c>
      <c r="H100" s="511" t="s">
        <v>729</v>
      </c>
      <c r="I100" s="511" t="s">
        <v>729</v>
      </c>
      <c r="J100" s="511" t="s">
        <v>729</v>
      </c>
      <c r="K100" s="511" t="s">
        <v>729</v>
      </c>
      <c r="L100" s="511" t="s">
        <v>729</v>
      </c>
      <c r="M100" s="511" t="s">
        <v>729</v>
      </c>
      <c r="N100" s="511" t="s">
        <v>729</v>
      </c>
      <c r="O100" s="513"/>
      <c r="P100" s="504"/>
    </row>
    <row r="101" spans="1:24" s="503" customFormat="1" ht="30.75" customHeight="1" outlineLevel="2" thickBot="1" x14ac:dyDescent="0.4">
      <c r="A101" s="481"/>
      <c r="B101" s="481"/>
      <c r="C101" s="509"/>
      <c r="D101" s="509" t="s">
        <v>714</v>
      </c>
      <c r="E101" s="510"/>
      <c r="F101" s="512"/>
      <c r="G101" s="511"/>
      <c r="H101" s="511"/>
      <c r="I101" s="511"/>
      <c r="J101" s="511"/>
      <c r="K101" s="511"/>
      <c r="L101" s="517"/>
      <c r="M101" s="518"/>
      <c r="N101" s="513"/>
      <c r="O101" s="513"/>
      <c r="P101" s="504"/>
    </row>
    <row r="102" spans="1:24" ht="20.25" customHeight="1" outlineLevel="1" thickBot="1" x14ac:dyDescent="0.4">
      <c r="C102" s="481"/>
      <c r="D102" s="481"/>
      <c r="E102" s="481"/>
      <c r="F102" s="481"/>
      <c r="G102" s="482"/>
      <c r="H102" s="482"/>
      <c r="I102" s="482"/>
      <c r="J102" s="482"/>
      <c r="K102" s="482"/>
      <c r="L102" s="482"/>
      <c r="M102" s="482"/>
      <c r="N102" s="482"/>
      <c r="O102" s="481"/>
      <c r="P102" s="481"/>
    </row>
    <row r="103" spans="1:24" ht="17.25" customHeight="1" thickBot="1" x14ac:dyDescent="0.4">
      <c r="C103" s="483" t="s">
        <v>677</v>
      </c>
      <c r="D103" s="484" t="s">
        <v>678</v>
      </c>
      <c r="E103" s="481"/>
      <c r="F103" s="481"/>
      <c r="G103" s="482"/>
      <c r="H103" s="482"/>
      <c r="I103" s="482"/>
      <c r="J103" s="482"/>
      <c r="K103" s="482"/>
      <c r="L103" s="482"/>
      <c r="M103" s="482"/>
      <c r="N103" s="482"/>
      <c r="O103" s="481"/>
      <c r="P103" s="481"/>
    </row>
    <row r="104" spans="1:24" s="492" customFormat="1" ht="36.75" customHeight="1" thickBot="1" x14ac:dyDescent="0.7">
      <c r="A104" s="481"/>
      <c r="B104" s="486" t="s">
        <v>679</v>
      </c>
      <c r="C104" s="487" t="s">
        <v>425</v>
      </c>
      <c r="D104" s="514" t="s">
        <v>426</v>
      </c>
      <c r="E104" s="489"/>
      <c r="F104" s="490" t="s">
        <v>680</v>
      </c>
      <c r="G104" s="578" t="str">
        <f>VLOOKUP(C104,overview_of_services!$B$2:$I$88,2,FALSE)</f>
        <v>EV Charging - Grid</v>
      </c>
      <c r="H104" s="578"/>
      <c r="I104" s="490"/>
      <c r="J104" s="491"/>
      <c r="K104" s="491"/>
      <c r="L104" s="491"/>
      <c r="M104" s="491"/>
      <c r="N104" s="491"/>
      <c r="R104" s="492" t="s">
        <v>681</v>
      </c>
      <c r="S104" s="492">
        <f>ROW()</f>
        <v>104</v>
      </c>
    </row>
    <row r="105" spans="1:24" ht="5.25" customHeight="1" x14ac:dyDescent="0.35">
      <c r="C105" s="493"/>
      <c r="D105" s="493"/>
      <c r="E105" s="493"/>
      <c r="F105" s="493"/>
      <c r="G105" s="493"/>
      <c r="H105" s="493"/>
      <c r="I105" s="493"/>
      <c r="J105" s="493"/>
      <c r="K105" s="493"/>
      <c r="L105" s="493"/>
      <c r="M105" s="493"/>
      <c r="N105" s="493"/>
      <c r="O105" s="493"/>
      <c r="P105" s="481"/>
    </row>
    <row r="106" spans="1:24" ht="20.25" customHeight="1" outlineLevel="1" x14ac:dyDescent="0.35">
      <c r="C106" s="575" t="s">
        <v>682</v>
      </c>
      <c r="D106" s="575"/>
      <c r="E106" s="577" t="s">
        <v>683</v>
      </c>
      <c r="F106" s="577"/>
      <c r="G106" s="577"/>
      <c r="H106" s="577"/>
      <c r="I106" s="577"/>
      <c r="J106" s="577"/>
      <c r="K106" s="577"/>
      <c r="L106" s="573" t="s">
        <v>684</v>
      </c>
      <c r="M106" s="574"/>
      <c r="N106" s="569" t="s">
        <v>685</v>
      </c>
      <c r="O106" s="571" t="s">
        <v>686</v>
      </c>
      <c r="P106" s="481"/>
    </row>
    <row r="107" spans="1:24" ht="36.75" customHeight="1" outlineLevel="1" thickBot="1" x14ac:dyDescent="0.4">
      <c r="C107" s="576"/>
      <c r="D107" s="576"/>
      <c r="E107" s="495" t="s">
        <v>687</v>
      </c>
      <c r="F107" s="495" t="s">
        <v>688</v>
      </c>
      <c r="G107" s="495" t="s">
        <v>689</v>
      </c>
      <c r="H107" s="495" t="s">
        <v>690</v>
      </c>
      <c r="I107" s="495" t="s">
        <v>616</v>
      </c>
      <c r="J107" s="495" t="s">
        <v>691</v>
      </c>
      <c r="K107" s="495" t="s">
        <v>692</v>
      </c>
      <c r="L107" s="496" t="s">
        <v>693</v>
      </c>
      <c r="M107" s="496" t="s">
        <v>694</v>
      </c>
      <c r="N107" s="570"/>
      <c r="O107" s="572"/>
      <c r="P107" s="481"/>
    </row>
    <row r="108" spans="1:24" s="503" customFormat="1" ht="35.25" customHeight="1" outlineLevel="1" thickTop="1" x14ac:dyDescent="0.5">
      <c r="A108" s="481"/>
      <c r="B108" s="481"/>
      <c r="C108" s="497" t="s">
        <v>695</v>
      </c>
      <c r="D108" s="498" t="str">
        <f>VLOOKUP(C104,overview_of_services!$B$2:$I$88,4,FALSE)</f>
        <v>None</v>
      </c>
      <c r="E108" s="499">
        <v>0</v>
      </c>
      <c r="F108" s="499">
        <v>0</v>
      </c>
      <c r="G108" s="499">
        <v>0</v>
      </c>
      <c r="H108" s="499">
        <v>0</v>
      </c>
      <c r="I108" s="499">
        <v>0</v>
      </c>
      <c r="J108" s="499">
        <v>0</v>
      </c>
      <c r="K108" s="499">
        <v>0</v>
      </c>
      <c r="L108" s="530" t="s">
        <v>696</v>
      </c>
      <c r="M108" s="530" t="s">
        <v>696</v>
      </c>
      <c r="N108" s="531">
        <v>0</v>
      </c>
      <c r="O108" s="532" t="s">
        <v>721</v>
      </c>
      <c r="P108" s="504"/>
      <c r="R108" s="504">
        <f t="shared" ref="R108:S112" si="15">IF(E108=0,0,(IF(E108="+",1,(IF(E108="++",2,(IF(E108="+++",3,(IF(E108="++++",4,(IF(E108="-",-1,(IF(E108="--",-2,(IF(E108="---",-3,(IF(E108="----",-4,"NA")))))))))))))))))</f>
        <v>0</v>
      </c>
      <c r="S108" s="504">
        <f t="shared" si="15"/>
        <v>0</v>
      </c>
      <c r="T108" s="504">
        <f t="shared" ref="T108:X112" si="16">IF(G108=0,0,(IF(G108="+",1,(IF(G108="++",2,(IF(G108="+++",3,(IF(G108="++++",4,(IF(G108="-",-1,(IF(G108="--",-2,(IF(G108="---",-3,(IF(G108="----",-4,"NA")))))))))))))))))</f>
        <v>0</v>
      </c>
      <c r="U108" s="504">
        <f t="shared" si="16"/>
        <v>0</v>
      </c>
      <c r="V108" s="504">
        <f t="shared" si="16"/>
        <v>0</v>
      </c>
      <c r="W108" s="504">
        <f t="shared" si="16"/>
        <v>0</v>
      </c>
      <c r="X108" s="504">
        <f t="shared" si="16"/>
        <v>0</v>
      </c>
    </row>
    <row r="109" spans="1:24" s="503" customFormat="1" ht="35.25" customHeight="1" outlineLevel="1" x14ac:dyDescent="0.5">
      <c r="A109" s="481"/>
      <c r="B109" s="481"/>
      <c r="C109" s="505" t="s">
        <v>699</v>
      </c>
      <c r="D109" s="506" t="str">
        <f>VLOOKUP(C104,overview_of_services!$B$2:$I$88,5,FALSE)</f>
        <v>charging at non-home pole</v>
      </c>
      <c r="E109" s="499">
        <v>0</v>
      </c>
      <c r="F109" s="499" t="s">
        <v>700</v>
      </c>
      <c r="G109" s="499" t="s">
        <v>700</v>
      </c>
      <c r="H109" s="499" t="s">
        <v>700</v>
      </c>
      <c r="I109" s="499">
        <v>0</v>
      </c>
      <c r="J109" s="499">
        <v>0</v>
      </c>
      <c r="K109" s="499">
        <v>0</v>
      </c>
      <c r="L109" s="530" t="s">
        <v>700</v>
      </c>
      <c r="M109" s="530" t="s">
        <v>700</v>
      </c>
      <c r="N109" s="531" t="s">
        <v>793</v>
      </c>
      <c r="O109" s="532" t="s">
        <v>721</v>
      </c>
      <c r="P109" s="504"/>
      <c r="R109" s="504">
        <f t="shared" si="15"/>
        <v>0</v>
      </c>
      <c r="S109" s="504">
        <f t="shared" si="15"/>
        <v>1</v>
      </c>
      <c r="T109" s="504">
        <f t="shared" si="16"/>
        <v>1</v>
      </c>
      <c r="U109" s="504">
        <f t="shared" si="16"/>
        <v>1</v>
      </c>
      <c r="V109" s="504">
        <f t="shared" si="16"/>
        <v>0</v>
      </c>
      <c r="W109" s="504">
        <f t="shared" si="16"/>
        <v>0</v>
      </c>
      <c r="X109" s="504">
        <f t="shared" si="16"/>
        <v>0</v>
      </c>
    </row>
    <row r="110" spans="1:24" s="503" customFormat="1" ht="35.25" customHeight="1" outlineLevel="1" x14ac:dyDescent="0.5">
      <c r="A110" s="481"/>
      <c r="B110" s="481"/>
      <c r="C110" s="505" t="s">
        <v>703</v>
      </c>
      <c r="D110" s="506" t="str">
        <f>VLOOKUP(C104,overview_of_services!$B$2:$I$88,6,FALSE)</f>
        <v>charging at public pole</v>
      </c>
      <c r="E110" s="499">
        <v>0</v>
      </c>
      <c r="F110" s="499" t="s">
        <v>700</v>
      </c>
      <c r="G110" s="499" t="s">
        <v>700</v>
      </c>
      <c r="H110" s="499" t="s">
        <v>700</v>
      </c>
      <c r="I110" s="499">
        <v>0</v>
      </c>
      <c r="J110" s="499">
        <v>0</v>
      </c>
      <c r="K110" s="499">
        <v>0</v>
      </c>
      <c r="L110" s="530" t="s">
        <v>704</v>
      </c>
      <c r="M110" s="530" t="s">
        <v>704</v>
      </c>
      <c r="N110" s="531" t="s">
        <v>793</v>
      </c>
      <c r="O110" s="532" t="s">
        <v>721</v>
      </c>
      <c r="P110" s="504"/>
      <c r="R110" s="504">
        <f t="shared" si="15"/>
        <v>0</v>
      </c>
      <c r="S110" s="504">
        <f t="shared" si="15"/>
        <v>1</v>
      </c>
      <c r="T110" s="504">
        <f t="shared" si="16"/>
        <v>1</v>
      </c>
      <c r="U110" s="504">
        <f t="shared" si="16"/>
        <v>1</v>
      </c>
      <c r="V110" s="504">
        <f t="shared" si="16"/>
        <v>0</v>
      </c>
      <c r="W110" s="504">
        <f t="shared" si="16"/>
        <v>0</v>
      </c>
      <c r="X110" s="504">
        <f t="shared" si="16"/>
        <v>0</v>
      </c>
    </row>
    <row r="111" spans="1:24" s="503" customFormat="1" ht="35.25" customHeight="1" outlineLevel="1" x14ac:dyDescent="0.5">
      <c r="A111" s="481"/>
      <c r="B111" s="481"/>
      <c r="C111" s="505" t="s">
        <v>706</v>
      </c>
      <c r="D111" s="506" t="str">
        <f>VLOOKUP(C104,overview_of_services!$B$2:$I$88,7,FALSE)</f>
        <v>charging in different country and regulatory regime</v>
      </c>
      <c r="E111" s="499">
        <v>0</v>
      </c>
      <c r="F111" s="499" t="s">
        <v>700</v>
      </c>
      <c r="G111" s="499" t="s">
        <v>700</v>
      </c>
      <c r="H111" s="499" t="s">
        <v>704</v>
      </c>
      <c r="I111" s="499">
        <v>0</v>
      </c>
      <c r="J111" s="499">
        <v>0</v>
      </c>
      <c r="K111" s="499">
        <v>0</v>
      </c>
      <c r="L111" s="530" t="s">
        <v>704</v>
      </c>
      <c r="M111" s="530" t="s">
        <v>704</v>
      </c>
      <c r="N111" s="531" t="s">
        <v>793</v>
      </c>
      <c r="O111" s="532" t="s">
        <v>721</v>
      </c>
      <c r="P111" s="504"/>
      <c r="R111" s="504">
        <f t="shared" si="15"/>
        <v>0</v>
      </c>
      <c r="S111" s="504">
        <f t="shared" si="15"/>
        <v>1</v>
      </c>
      <c r="T111" s="504">
        <f t="shared" si="16"/>
        <v>1</v>
      </c>
      <c r="U111" s="504">
        <f t="shared" si="16"/>
        <v>2</v>
      </c>
      <c r="V111" s="504">
        <f t="shared" si="16"/>
        <v>0</v>
      </c>
      <c r="W111" s="504">
        <f t="shared" si="16"/>
        <v>0</v>
      </c>
      <c r="X111" s="504">
        <f t="shared" si="16"/>
        <v>0</v>
      </c>
    </row>
    <row r="112" spans="1:24" s="503" customFormat="1" ht="35.25" customHeight="1" outlineLevel="1" x14ac:dyDescent="0.5">
      <c r="A112" s="481"/>
      <c r="B112" s="481"/>
      <c r="C112" s="505" t="s">
        <v>710</v>
      </c>
      <c r="D112" s="506">
        <f>VLOOKUP(C104,overview_of_services!$B$2:$I$88,8,FALSE)</f>
        <v>0</v>
      </c>
      <c r="E112" s="507"/>
      <c r="F112" s="499"/>
      <c r="G112" s="507"/>
      <c r="H112" s="507"/>
      <c r="I112" s="499"/>
      <c r="J112" s="499"/>
      <c r="K112" s="499"/>
      <c r="L112" s="500" t="s">
        <v>721</v>
      </c>
      <c r="M112" s="500" t="s">
        <v>721</v>
      </c>
      <c r="N112" s="501" t="s">
        <v>721</v>
      </c>
      <c r="O112" s="529" t="s">
        <v>721</v>
      </c>
      <c r="P112" s="504"/>
      <c r="R112" s="504">
        <f t="shared" si="15"/>
        <v>0</v>
      </c>
      <c r="S112" s="504">
        <f t="shared" si="15"/>
        <v>0</v>
      </c>
      <c r="T112" s="504">
        <f t="shared" si="16"/>
        <v>0</v>
      </c>
      <c r="U112" s="504">
        <f t="shared" si="16"/>
        <v>0</v>
      </c>
      <c r="V112" s="504">
        <f t="shared" si="16"/>
        <v>0</v>
      </c>
      <c r="W112" s="504">
        <f t="shared" si="16"/>
        <v>0</v>
      </c>
      <c r="X112" s="504">
        <f t="shared" si="16"/>
        <v>0</v>
      </c>
    </row>
    <row r="113" spans="1:24" s="503" customFormat="1" ht="6" customHeight="1" outlineLevel="2" thickBot="1" x14ac:dyDescent="0.4">
      <c r="A113" s="481"/>
      <c r="B113" s="481"/>
      <c r="C113" s="504"/>
      <c r="D113" s="504"/>
      <c r="E113" s="508"/>
      <c r="F113" s="508"/>
      <c r="G113" s="508"/>
      <c r="H113" s="508"/>
      <c r="I113" s="508"/>
      <c r="J113" s="508"/>
      <c r="K113" s="508"/>
      <c r="L113" s="504"/>
      <c r="M113" s="504"/>
      <c r="N113" s="504"/>
      <c r="O113" s="504"/>
      <c r="P113" s="504"/>
    </row>
    <row r="114" spans="1:24" s="503" customFormat="1" ht="30.75" customHeight="1" outlineLevel="2" thickBot="1" x14ac:dyDescent="0.4">
      <c r="A114" s="481"/>
      <c r="B114" s="481"/>
      <c r="C114" s="509"/>
      <c r="D114" s="509" t="s">
        <v>712</v>
      </c>
      <c r="E114" s="511" t="s">
        <v>729</v>
      </c>
      <c r="F114" s="511" t="s">
        <v>729</v>
      </c>
      <c r="G114" s="511" t="s">
        <v>729</v>
      </c>
      <c r="H114" s="511" t="s">
        <v>729</v>
      </c>
      <c r="I114" s="511" t="s">
        <v>729</v>
      </c>
      <c r="J114" s="511" t="s">
        <v>729</v>
      </c>
      <c r="K114" s="511" t="s">
        <v>729</v>
      </c>
      <c r="L114" s="511" t="s">
        <v>729</v>
      </c>
      <c r="M114" s="511" t="s">
        <v>729</v>
      </c>
      <c r="N114" s="511" t="s">
        <v>729</v>
      </c>
      <c r="O114" s="513"/>
      <c r="P114" s="504"/>
    </row>
    <row r="115" spans="1:24" s="503" customFormat="1" ht="30.75" customHeight="1" outlineLevel="2" thickBot="1" x14ac:dyDescent="0.4">
      <c r="A115" s="481"/>
      <c r="B115" s="481"/>
      <c r="C115" s="509"/>
      <c r="D115" s="509" t="s">
        <v>714</v>
      </c>
      <c r="E115" s="510"/>
      <c r="F115" s="512"/>
      <c r="G115" s="511"/>
      <c r="H115" s="511"/>
      <c r="I115" s="511"/>
      <c r="J115" s="511"/>
      <c r="K115" s="511"/>
      <c r="L115" s="517"/>
      <c r="M115" s="518"/>
      <c r="N115" s="513"/>
      <c r="O115" s="513"/>
      <c r="P115" s="504"/>
    </row>
    <row r="116" spans="1:24" ht="20.25" customHeight="1" outlineLevel="1" thickBot="1" x14ac:dyDescent="0.4">
      <c r="C116" s="481"/>
      <c r="D116" s="481"/>
      <c r="E116" s="481"/>
      <c r="F116" s="481"/>
      <c r="G116" s="482"/>
      <c r="H116" s="482"/>
      <c r="I116" s="482"/>
      <c r="J116" s="482"/>
      <c r="K116" s="482"/>
      <c r="L116" s="482"/>
      <c r="M116" s="482"/>
      <c r="N116" s="482"/>
      <c r="O116" s="481"/>
      <c r="P116" s="481"/>
    </row>
    <row r="117" spans="1:24" ht="17.25" customHeight="1" thickBot="1" x14ac:dyDescent="0.4">
      <c r="C117" s="483" t="s">
        <v>677</v>
      </c>
      <c r="D117" s="484" t="s">
        <v>678</v>
      </c>
      <c r="E117" s="481"/>
      <c r="F117" s="481"/>
      <c r="G117" s="482"/>
      <c r="H117" s="482"/>
      <c r="I117" s="482"/>
      <c r="J117" s="482"/>
      <c r="K117" s="482"/>
      <c r="L117" s="482"/>
      <c r="M117" s="482"/>
      <c r="N117" s="482"/>
      <c r="O117" s="481"/>
      <c r="P117" s="481"/>
    </row>
    <row r="118" spans="1:24" s="492" customFormat="1" ht="36.75" customHeight="1" thickBot="1" x14ac:dyDescent="0.7">
      <c r="A118" s="481"/>
      <c r="B118" s="486" t="s">
        <v>679</v>
      </c>
      <c r="C118" s="487" t="s">
        <v>430</v>
      </c>
      <c r="D118" s="514" t="s">
        <v>431</v>
      </c>
      <c r="E118" s="489"/>
      <c r="F118" s="490" t="s">
        <v>680</v>
      </c>
      <c r="G118" s="578" t="str">
        <f>VLOOKUP(C118,overview_of_services!$B$2:$I$88,2,FALSE)</f>
        <v>EV Charging - Market</v>
      </c>
      <c r="H118" s="578"/>
      <c r="I118" s="490"/>
      <c r="J118" s="491"/>
      <c r="K118" s="491"/>
      <c r="L118" s="491"/>
      <c r="M118" s="491"/>
      <c r="N118" s="491"/>
      <c r="R118" s="492" t="s">
        <v>681</v>
      </c>
      <c r="S118" s="492">
        <f>ROW()</f>
        <v>118</v>
      </c>
    </row>
    <row r="119" spans="1:24" ht="5.25" customHeight="1" x14ac:dyDescent="0.35">
      <c r="C119" s="493"/>
      <c r="D119" s="493"/>
      <c r="E119" s="493"/>
      <c r="F119" s="493"/>
      <c r="G119" s="493"/>
      <c r="H119" s="493"/>
      <c r="I119" s="493"/>
      <c r="J119" s="493"/>
      <c r="K119" s="493"/>
      <c r="L119" s="493"/>
      <c r="M119" s="493"/>
      <c r="N119" s="493"/>
      <c r="O119" s="493"/>
      <c r="P119" s="481"/>
    </row>
    <row r="120" spans="1:24" ht="20.25" customHeight="1" outlineLevel="1" x14ac:dyDescent="0.35">
      <c r="C120" s="575" t="s">
        <v>682</v>
      </c>
      <c r="D120" s="575"/>
      <c r="E120" s="577" t="s">
        <v>683</v>
      </c>
      <c r="F120" s="577"/>
      <c r="G120" s="577"/>
      <c r="H120" s="577"/>
      <c r="I120" s="577"/>
      <c r="J120" s="577"/>
      <c r="K120" s="577"/>
      <c r="L120" s="573" t="s">
        <v>684</v>
      </c>
      <c r="M120" s="574"/>
      <c r="N120" s="569" t="s">
        <v>685</v>
      </c>
      <c r="O120" s="571" t="s">
        <v>686</v>
      </c>
      <c r="P120" s="481"/>
    </row>
    <row r="121" spans="1:24" ht="36.75" customHeight="1" outlineLevel="1" thickBot="1" x14ac:dyDescent="0.4">
      <c r="C121" s="576"/>
      <c r="D121" s="576"/>
      <c r="E121" s="495" t="s">
        <v>687</v>
      </c>
      <c r="F121" s="495" t="s">
        <v>688</v>
      </c>
      <c r="G121" s="495" t="s">
        <v>689</v>
      </c>
      <c r="H121" s="495" t="s">
        <v>690</v>
      </c>
      <c r="I121" s="495" t="s">
        <v>616</v>
      </c>
      <c r="J121" s="495" t="s">
        <v>691</v>
      </c>
      <c r="K121" s="495" t="s">
        <v>692</v>
      </c>
      <c r="L121" s="496" t="s">
        <v>693</v>
      </c>
      <c r="M121" s="496" t="s">
        <v>694</v>
      </c>
      <c r="N121" s="570"/>
      <c r="O121" s="572"/>
      <c r="P121" s="481"/>
    </row>
    <row r="122" spans="1:24" s="503" customFormat="1" ht="35.25" customHeight="1" outlineLevel="1" thickTop="1" x14ac:dyDescent="0.5">
      <c r="A122" s="481"/>
      <c r="B122" s="481"/>
      <c r="C122" s="497" t="s">
        <v>695</v>
      </c>
      <c r="D122" s="498" t="str">
        <f>VLOOKUP(C118,overview_of_services!$B$2:$I$88,4,FALSE)</f>
        <v>None</v>
      </c>
      <c r="E122" s="499">
        <v>0</v>
      </c>
      <c r="F122" s="499">
        <v>0</v>
      </c>
      <c r="G122" s="499">
        <v>0</v>
      </c>
      <c r="H122" s="499">
        <v>0</v>
      </c>
      <c r="I122" s="499">
        <v>0</v>
      </c>
      <c r="J122" s="499">
        <v>0</v>
      </c>
      <c r="K122" s="499">
        <v>0</v>
      </c>
      <c r="L122" s="530" t="s">
        <v>696</v>
      </c>
      <c r="M122" s="530" t="s">
        <v>696</v>
      </c>
      <c r="N122" s="531">
        <v>0</v>
      </c>
      <c r="O122" s="532" t="s">
        <v>721</v>
      </c>
      <c r="P122" s="504"/>
      <c r="R122" s="504">
        <f t="shared" ref="R122:S126" si="17">IF(E122=0,0,(IF(E122="+",1,(IF(E122="++",2,(IF(E122="+++",3,(IF(E122="++++",4,(IF(E122="-",-1,(IF(E122="--",-2,(IF(E122="---",-3,(IF(E122="----",-4,"NA")))))))))))))))))</f>
        <v>0</v>
      </c>
      <c r="S122" s="504">
        <f t="shared" si="17"/>
        <v>0</v>
      </c>
      <c r="T122" s="504">
        <f t="shared" ref="T122:X126" si="18">IF(G122=0,0,(IF(G122="+",1,(IF(G122="++",2,(IF(G122="+++",3,(IF(G122="++++",4,(IF(G122="-",-1,(IF(G122="--",-2,(IF(G122="---",-3,(IF(G122="----",-4,"NA")))))))))))))))))</f>
        <v>0</v>
      </c>
      <c r="U122" s="504">
        <f t="shared" si="18"/>
        <v>0</v>
      </c>
      <c r="V122" s="504">
        <f t="shared" si="18"/>
        <v>0</v>
      </c>
      <c r="W122" s="504">
        <f t="shared" si="18"/>
        <v>0</v>
      </c>
      <c r="X122" s="504">
        <f t="shared" si="18"/>
        <v>0</v>
      </c>
    </row>
    <row r="123" spans="1:24" s="503" customFormat="1" ht="35.25" customHeight="1" outlineLevel="1" x14ac:dyDescent="0.5">
      <c r="A123" s="481"/>
      <c r="B123" s="481"/>
      <c r="C123" s="505" t="s">
        <v>699</v>
      </c>
      <c r="D123" s="506" t="str">
        <f>VLOOKUP(C118,overview_of_services!$B$2:$I$88,5,FALSE)</f>
        <v>storage</v>
      </c>
      <c r="E123" s="499">
        <v>0</v>
      </c>
      <c r="F123" s="499" t="s">
        <v>704</v>
      </c>
      <c r="G123" s="499" t="s">
        <v>697</v>
      </c>
      <c r="H123" s="499" t="s">
        <v>697</v>
      </c>
      <c r="I123" s="499">
        <v>0</v>
      </c>
      <c r="J123" s="499">
        <v>0</v>
      </c>
      <c r="K123" s="499">
        <v>0</v>
      </c>
      <c r="L123" s="530" t="s">
        <v>697</v>
      </c>
      <c r="M123" s="530" t="s">
        <v>797</v>
      </c>
      <c r="N123" s="531" t="s">
        <v>721</v>
      </c>
      <c r="O123" s="532" t="s">
        <v>721</v>
      </c>
      <c r="P123" s="504"/>
      <c r="R123" s="504">
        <f t="shared" si="17"/>
        <v>0</v>
      </c>
      <c r="S123" s="504">
        <f t="shared" si="17"/>
        <v>2</v>
      </c>
      <c r="T123" s="504">
        <f t="shared" si="18"/>
        <v>-1</v>
      </c>
      <c r="U123" s="504">
        <f t="shared" si="18"/>
        <v>-1</v>
      </c>
      <c r="V123" s="504">
        <f t="shared" si="18"/>
        <v>0</v>
      </c>
      <c r="W123" s="504">
        <f t="shared" si="18"/>
        <v>0</v>
      </c>
      <c r="X123" s="504">
        <f t="shared" si="18"/>
        <v>0</v>
      </c>
    </row>
    <row r="124" spans="1:24" s="503" customFormat="1" ht="35.25" customHeight="1" outlineLevel="1" x14ac:dyDescent="0.5">
      <c r="A124" s="481"/>
      <c r="B124" s="481"/>
      <c r="C124" s="505" t="s">
        <v>703</v>
      </c>
      <c r="D124" s="506" t="str">
        <f>VLOOKUP(C118,overview_of_services!$B$2:$I$88,6,FALSE)</f>
        <v>storage and feed-in to grid</v>
      </c>
      <c r="E124" s="499">
        <v>0</v>
      </c>
      <c r="F124" s="499" t="s">
        <v>704</v>
      </c>
      <c r="G124" s="499" t="s">
        <v>697</v>
      </c>
      <c r="H124" s="499" t="s">
        <v>697</v>
      </c>
      <c r="I124" s="499">
        <v>0</v>
      </c>
      <c r="J124" s="499">
        <v>0</v>
      </c>
      <c r="K124" s="499">
        <v>0</v>
      </c>
      <c r="L124" s="530" t="s">
        <v>697</v>
      </c>
      <c r="M124" s="530" t="s">
        <v>797</v>
      </c>
      <c r="N124" s="531" t="s">
        <v>721</v>
      </c>
      <c r="O124" s="532" t="s">
        <v>721</v>
      </c>
      <c r="P124" s="504"/>
      <c r="R124" s="504">
        <f t="shared" si="17"/>
        <v>0</v>
      </c>
      <c r="S124" s="504">
        <f t="shared" si="17"/>
        <v>2</v>
      </c>
      <c r="T124" s="504">
        <f t="shared" si="18"/>
        <v>-1</v>
      </c>
      <c r="U124" s="504">
        <f t="shared" si="18"/>
        <v>-1</v>
      </c>
      <c r="V124" s="504">
        <f t="shared" si="18"/>
        <v>0</v>
      </c>
      <c r="W124" s="504">
        <f t="shared" si="18"/>
        <v>0</v>
      </c>
      <c r="X124" s="504">
        <f t="shared" si="18"/>
        <v>0</v>
      </c>
    </row>
    <row r="125" spans="1:24" s="503" customFormat="1" ht="35.25" customHeight="1" outlineLevel="1" x14ac:dyDescent="0.5">
      <c r="A125" s="481"/>
      <c r="B125" s="481"/>
      <c r="C125" s="505" t="s">
        <v>706</v>
      </c>
      <c r="D125" s="506">
        <f>VLOOKUP(C118,overview_of_services!$B$2:$I$88,7,FALSE)</f>
        <v>0</v>
      </c>
      <c r="E125" s="499"/>
      <c r="F125" s="499"/>
      <c r="G125" s="499"/>
      <c r="H125" s="499"/>
      <c r="I125" s="499"/>
      <c r="J125" s="499"/>
      <c r="K125" s="499"/>
      <c r="L125" s="500" t="s">
        <v>721</v>
      </c>
      <c r="M125" s="500" t="s">
        <v>721</v>
      </c>
      <c r="N125" s="501" t="s">
        <v>721</v>
      </c>
      <c r="O125" s="529" t="s">
        <v>721</v>
      </c>
      <c r="P125" s="504"/>
      <c r="R125" s="504">
        <f t="shared" si="17"/>
        <v>0</v>
      </c>
      <c r="S125" s="504">
        <f t="shared" si="17"/>
        <v>0</v>
      </c>
      <c r="T125" s="504">
        <f t="shared" si="18"/>
        <v>0</v>
      </c>
      <c r="U125" s="504">
        <f t="shared" si="18"/>
        <v>0</v>
      </c>
      <c r="V125" s="504">
        <f t="shared" si="18"/>
        <v>0</v>
      </c>
      <c r="W125" s="504">
        <f t="shared" si="18"/>
        <v>0</v>
      </c>
      <c r="X125" s="504">
        <f t="shared" si="18"/>
        <v>0</v>
      </c>
    </row>
    <row r="126" spans="1:24" s="503" customFormat="1" ht="35.25" customHeight="1" outlineLevel="1" x14ac:dyDescent="0.5">
      <c r="A126" s="481"/>
      <c r="B126" s="481"/>
      <c r="C126" s="505" t="s">
        <v>710</v>
      </c>
      <c r="D126" s="506">
        <f>VLOOKUP(C118,overview_of_services!$B$2:$I$88,8,FALSE)</f>
        <v>0</v>
      </c>
      <c r="E126" s="507"/>
      <c r="F126" s="499"/>
      <c r="G126" s="507"/>
      <c r="H126" s="507"/>
      <c r="I126" s="499"/>
      <c r="J126" s="499"/>
      <c r="K126" s="499"/>
      <c r="L126" s="500" t="s">
        <v>721</v>
      </c>
      <c r="M126" s="500" t="s">
        <v>721</v>
      </c>
      <c r="N126" s="501" t="s">
        <v>721</v>
      </c>
      <c r="O126" s="529" t="s">
        <v>721</v>
      </c>
      <c r="P126" s="504"/>
      <c r="R126" s="504">
        <f t="shared" si="17"/>
        <v>0</v>
      </c>
      <c r="S126" s="504">
        <f t="shared" si="17"/>
        <v>0</v>
      </c>
      <c r="T126" s="504">
        <f t="shared" si="18"/>
        <v>0</v>
      </c>
      <c r="U126" s="504">
        <f t="shared" si="18"/>
        <v>0</v>
      </c>
      <c r="V126" s="504">
        <f t="shared" si="18"/>
        <v>0</v>
      </c>
      <c r="W126" s="504">
        <f t="shared" si="18"/>
        <v>0</v>
      </c>
      <c r="X126" s="504">
        <f t="shared" si="18"/>
        <v>0</v>
      </c>
    </row>
    <row r="127" spans="1:24" s="503" customFormat="1" ht="6" customHeight="1" outlineLevel="2" thickBot="1" x14ac:dyDescent="0.4">
      <c r="A127" s="481"/>
      <c r="B127" s="481"/>
      <c r="C127" s="504"/>
      <c r="D127" s="504"/>
      <c r="E127" s="508"/>
      <c r="F127" s="508"/>
      <c r="G127" s="508"/>
      <c r="H127" s="508"/>
      <c r="I127" s="508"/>
      <c r="J127" s="508"/>
      <c r="K127" s="508"/>
      <c r="L127" s="504"/>
      <c r="M127" s="504"/>
      <c r="N127" s="504"/>
      <c r="O127" s="504"/>
      <c r="P127" s="504"/>
    </row>
    <row r="128" spans="1:24" s="503" customFormat="1" ht="30.75" customHeight="1" outlineLevel="2" thickBot="1" x14ac:dyDescent="0.4">
      <c r="A128" s="481"/>
      <c r="B128" s="481"/>
      <c r="C128" s="509"/>
      <c r="D128" s="509" t="s">
        <v>712</v>
      </c>
      <c r="E128" s="511" t="s">
        <v>729</v>
      </c>
      <c r="F128" s="511" t="s">
        <v>729</v>
      </c>
      <c r="G128" s="511" t="s">
        <v>729</v>
      </c>
      <c r="H128" s="511" t="s">
        <v>729</v>
      </c>
      <c r="I128" s="511" t="s">
        <v>729</v>
      </c>
      <c r="J128" s="511" t="s">
        <v>729</v>
      </c>
      <c r="K128" s="511" t="s">
        <v>729</v>
      </c>
      <c r="L128" s="511" t="s">
        <v>729</v>
      </c>
      <c r="M128" s="511" t="s">
        <v>729</v>
      </c>
      <c r="N128" s="511" t="s">
        <v>729</v>
      </c>
      <c r="O128" s="513"/>
      <c r="P128" s="504"/>
    </row>
    <row r="129" spans="1:24" s="503" customFormat="1" ht="30.75" customHeight="1" outlineLevel="2" thickBot="1" x14ac:dyDescent="0.4">
      <c r="A129" s="481"/>
      <c r="B129" s="481"/>
      <c r="C129" s="509"/>
      <c r="D129" s="509" t="s">
        <v>714</v>
      </c>
      <c r="E129" s="510"/>
      <c r="F129" s="512"/>
      <c r="G129" s="511"/>
      <c r="H129" s="511"/>
      <c r="I129" s="511"/>
      <c r="J129" s="511"/>
      <c r="K129" s="511"/>
      <c r="L129" s="517"/>
      <c r="M129" s="518"/>
      <c r="N129" s="513"/>
      <c r="O129" s="513"/>
      <c r="P129" s="504"/>
    </row>
    <row r="130" spans="1:24" ht="20.25" customHeight="1" outlineLevel="1" thickBot="1" x14ac:dyDescent="0.4">
      <c r="C130" s="481"/>
      <c r="D130" s="481"/>
      <c r="E130" s="481"/>
      <c r="F130" s="481"/>
      <c r="G130" s="482"/>
      <c r="H130" s="482"/>
      <c r="I130" s="482"/>
      <c r="J130" s="482"/>
      <c r="K130" s="482"/>
      <c r="L130" s="482"/>
      <c r="M130" s="482"/>
      <c r="N130" s="482"/>
      <c r="O130" s="481"/>
      <c r="P130" s="481"/>
    </row>
    <row r="131" spans="1:24" ht="17.25" customHeight="1" thickBot="1" x14ac:dyDescent="0.4">
      <c r="C131" s="483" t="s">
        <v>677</v>
      </c>
      <c r="D131" s="484" t="s">
        <v>678</v>
      </c>
      <c r="E131" s="481"/>
      <c r="F131" s="481"/>
      <c r="G131" s="482"/>
      <c r="H131" s="482"/>
      <c r="I131" s="482"/>
      <c r="J131" s="482"/>
      <c r="K131" s="482"/>
      <c r="L131" s="482"/>
      <c r="M131" s="482"/>
      <c r="N131" s="482"/>
      <c r="O131" s="481"/>
      <c r="P131" s="481"/>
    </row>
    <row r="132" spans="1:24" s="492" customFormat="1" ht="36.75" customHeight="1" thickBot="1" x14ac:dyDescent="0.7">
      <c r="A132" s="481"/>
      <c r="B132" s="486" t="s">
        <v>679</v>
      </c>
      <c r="C132" s="487" t="s">
        <v>434</v>
      </c>
      <c r="D132" s="514" t="s">
        <v>436</v>
      </c>
      <c r="E132" s="489"/>
      <c r="F132" s="490" t="s">
        <v>680</v>
      </c>
      <c r="G132" s="578" t="str">
        <f>VLOOKUP(C132,overview_of_services!$B$2:$I$88,2,FALSE)</f>
        <v>EV Charging - Market and Occupant</v>
      </c>
      <c r="H132" s="578"/>
      <c r="I132" s="490"/>
      <c r="J132" s="491"/>
      <c r="K132" s="491"/>
      <c r="L132" s="491"/>
      <c r="M132" s="491"/>
      <c r="N132" s="491"/>
      <c r="R132" s="492" t="s">
        <v>681</v>
      </c>
      <c r="S132" s="492">
        <f>ROW()</f>
        <v>132</v>
      </c>
    </row>
    <row r="133" spans="1:24" ht="5.25" customHeight="1" x14ac:dyDescent="0.35">
      <c r="C133" s="493"/>
      <c r="D133" s="493"/>
      <c r="E133" s="493"/>
      <c r="F133" s="493"/>
      <c r="G133" s="493"/>
      <c r="H133" s="493"/>
      <c r="I133" s="493"/>
      <c r="J133" s="493"/>
      <c r="K133" s="493"/>
      <c r="L133" s="493"/>
      <c r="M133" s="493"/>
      <c r="N133" s="493"/>
      <c r="O133" s="493"/>
      <c r="P133" s="481"/>
    </row>
    <row r="134" spans="1:24" ht="20.25" customHeight="1" outlineLevel="1" x14ac:dyDescent="0.35">
      <c r="C134" s="575" t="s">
        <v>682</v>
      </c>
      <c r="D134" s="575"/>
      <c r="E134" s="577" t="s">
        <v>683</v>
      </c>
      <c r="F134" s="577"/>
      <c r="G134" s="577"/>
      <c r="H134" s="577"/>
      <c r="I134" s="577"/>
      <c r="J134" s="577"/>
      <c r="K134" s="577"/>
      <c r="L134" s="573" t="s">
        <v>684</v>
      </c>
      <c r="M134" s="574"/>
      <c r="N134" s="569" t="s">
        <v>685</v>
      </c>
      <c r="O134" s="571" t="s">
        <v>686</v>
      </c>
      <c r="P134" s="481"/>
    </row>
    <row r="135" spans="1:24" ht="36.75" customHeight="1" outlineLevel="1" thickBot="1" x14ac:dyDescent="0.4">
      <c r="C135" s="576"/>
      <c r="D135" s="576"/>
      <c r="E135" s="495" t="s">
        <v>687</v>
      </c>
      <c r="F135" s="495" t="s">
        <v>688</v>
      </c>
      <c r="G135" s="495" t="s">
        <v>689</v>
      </c>
      <c r="H135" s="495" t="s">
        <v>690</v>
      </c>
      <c r="I135" s="495" t="s">
        <v>616</v>
      </c>
      <c r="J135" s="495" t="s">
        <v>691</v>
      </c>
      <c r="K135" s="495" t="s">
        <v>692</v>
      </c>
      <c r="L135" s="496" t="s">
        <v>693</v>
      </c>
      <c r="M135" s="496" t="s">
        <v>694</v>
      </c>
      <c r="N135" s="570"/>
      <c r="O135" s="572"/>
      <c r="P135" s="481"/>
    </row>
    <row r="136" spans="1:24" s="503" customFormat="1" ht="35.25" customHeight="1" outlineLevel="1" thickTop="1" x14ac:dyDescent="0.5">
      <c r="A136" s="481"/>
      <c r="B136" s="481"/>
      <c r="C136" s="497" t="s">
        <v>695</v>
      </c>
      <c r="D136" s="498" t="str">
        <f>VLOOKUP(C132,overview_of_services!$B$2:$I$88,4,FALSE)</f>
        <v>None</v>
      </c>
      <c r="E136" s="499">
        <v>0</v>
      </c>
      <c r="F136" s="499">
        <v>0</v>
      </c>
      <c r="G136" s="499">
        <v>0</v>
      </c>
      <c r="H136" s="499">
        <v>0</v>
      </c>
      <c r="I136" s="499">
        <v>0</v>
      </c>
      <c r="J136" s="499">
        <v>0</v>
      </c>
      <c r="K136" s="499">
        <v>0</v>
      </c>
      <c r="L136" s="530" t="s">
        <v>696</v>
      </c>
      <c r="M136" s="530" t="s">
        <v>696</v>
      </c>
      <c r="N136" s="531">
        <v>0</v>
      </c>
      <c r="O136" s="532" t="s">
        <v>721</v>
      </c>
      <c r="P136" s="504"/>
      <c r="R136" s="504">
        <f t="shared" ref="R136:S140" si="19">IF(E136=0,0,(IF(E136="+",1,(IF(E136="++",2,(IF(E136="+++",3,(IF(E136="++++",4,(IF(E136="-",-1,(IF(E136="--",-2,(IF(E136="---",-3,(IF(E136="----",-4,"NA")))))))))))))))))</f>
        <v>0</v>
      </c>
      <c r="S136" s="504">
        <f t="shared" si="19"/>
        <v>0</v>
      </c>
      <c r="T136" s="504">
        <f t="shared" ref="T136:X140" si="20">IF(G136=0,0,(IF(G136="+",1,(IF(G136="++",2,(IF(G136="+++",3,(IF(G136="++++",4,(IF(G136="-",-1,(IF(G136="--",-2,(IF(G136="---",-3,(IF(G136="----",-4,"NA")))))))))))))))))</f>
        <v>0</v>
      </c>
      <c r="U136" s="504">
        <f t="shared" si="20"/>
        <v>0</v>
      </c>
      <c r="V136" s="504">
        <f t="shared" si="20"/>
        <v>0</v>
      </c>
      <c r="W136" s="504">
        <f t="shared" si="20"/>
        <v>0</v>
      </c>
      <c r="X136" s="504">
        <f t="shared" si="20"/>
        <v>0</v>
      </c>
    </row>
    <row r="137" spans="1:24" s="503" customFormat="1" ht="35.25" customHeight="1" outlineLevel="1" x14ac:dyDescent="0.5">
      <c r="A137" s="481"/>
      <c r="B137" s="481"/>
      <c r="C137" s="505" t="s">
        <v>699</v>
      </c>
      <c r="D137" s="506" t="str">
        <f>VLOOKUP(C132,overview_of_services!$B$2:$I$88,5,FALSE)</f>
        <v>simple webb app car to mobile</v>
      </c>
      <c r="E137" s="499">
        <v>0</v>
      </c>
      <c r="F137" s="499">
        <v>0</v>
      </c>
      <c r="G137" s="499">
        <v>0</v>
      </c>
      <c r="H137" s="499" t="s">
        <v>700</v>
      </c>
      <c r="I137" s="499">
        <v>0</v>
      </c>
      <c r="J137" s="499">
        <v>0</v>
      </c>
      <c r="K137" s="499" t="s">
        <v>704</v>
      </c>
      <c r="L137" s="530" t="s">
        <v>700</v>
      </c>
      <c r="M137" s="530" t="s">
        <v>700</v>
      </c>
      <c r="N137" s="531" t="s">
        <v>791</v>
      </c>
      <c r="O137" s="532" t="s">
        <v>721</v>
      </c>
      <c r="P137" s="504"/>
      <c r="R137" s="504">
        <f t="shared" si="19"/>
        <v>0</v>
      </c>
      <c r="S137" s="504">
        <f t="shared" si="19"/>
        <v>0</v>
      </c>
      <c r="T137" s="504">
        <f t="shared" si="20"/>
        <v>0</v>
      </c>
      <c r="U137" s="504">
        <f t="shared" si="20"/>
        <v>1</v>
      </c>
      <c r="V137" s="504">
        <f t="shared" si="20"/>
        <v>0</v>
      </c>
      <c r="W137" s="504">
        <f t="shared" si="20"/>
        <v>0</v>
      </c>
      <c r="X137" s="504">
        <f t="shared" si="20"/>
        <v>2</v>
      </c>
    </row>
    <row r="138" spans="1:24" s="503" customFormat="1" ht="35.25" customHeight="1" outlineLevel="1" x14ac:dyDescent="0.5">
      <c r="A138" s="481"/>
      <c r="B138" s="481"/>
      <c r="C138" s="505" t="s">
        <v>703</v>
      </c>
      <c r="D138" s="506" t="str">
        <f>VLOOKUP(C132,overview_of_services!$B$2:$I$88,6,FALSE)</f>
        <v>integrating the information into BEMS</v>
      </c>
      <c r="E138" s="499">
        <v>0</v>
      </c>
      <c r="F138" s="499">
        <v>0</v>
      </c>
      <c r="G138" s="499">
        <v>0</v>
      </c>
      <c r="H138" s="499" t="s">
        <v>700</v>
      </c>
      <c r="I138" s="499">
        <v>0</v>
      </c>
      <c r="J138" s="499">
        <v>0</v>
      </c>
      <c r="K138" s="499" t="s">
        <v>707</v>
      </c>
      <c r="L138" s="530" t="s">
        <v>697</v>
      </c>
      <c r="M138" s="530" t="s">
        <v>697</v>
      </c>
      <c r="N138" s="531" t="s">
        <v>791</v>
      </c>
      <c r="O138" s="532" t="s">
        <v>721</v>
      </c>
      <c r="P138" s="504"/>
      <c r="R138" s="504">
        <f t="shared" si="19"/>
        <v>0</v>
      </c>
      <c r="S138" s="504">
        <f t="shared" si="19"/>
        <v>0</v>
      </c>
      <c r="T138" s="504">
        <f t="shared" si="20"/>
        <v>0</v>
      </c>
      <c r="U138" s="504">
        <f t="shared" si="20"/>
        <v>1</v>
      </c>
      <c r="V138" s="504">
        <f t="shared" si="20"/>
        <v>0</v>
      </c>
      <c r="W138" s="504">
        <f t="shared" si="20"/>
        <v>0</v>
      </c>
      <c r="X138" s="504">
        <f t="shared" si="20"/>
        <v>3</v>
      </c>
    </row>
    <row r="139" spans="1:24" s="503" customFormat="1" ht="35.25" customHeight="1" outlineLevel="1" x14ac:dyDescent="0.5">
      <c r="A139" s="481"/>
      <c r="B139" s="481"/>
      <c r="C139" s="505" t="s">
        <v>706</v>
      </c>
      <c r="D139" s="506">
        <f>VLOOKUP(C132,overview_of_services!$B$2:$I$88,7,FALSE)</f>
        <v>0</v>
      </c>
      <c r="E139" s="499"/>
      <c r="F139" s="499"/>
      <c r="G139" s="499"/>
      <c r="H139" s="499"/>
      <c r="I139" s="499"/>
      <c r="J139" s="499"/>
      <c r="K139" s="499"/>
      <c r="L139" s="500" t="s">
        <v>721</v>
      </c>
      <c r="M139" s="500" t="s">
        <v>721</v>
      </c>
      <c r="N139" s="501" t="s">
        <v>721</v>
      </c>
      <c r="O139" s="529" t="s">
        <v>721</v>
      </c>
      <c r="P139" s="504"/>
      <c r="R139" s="504">
        <f t="shared" si="19"/>
        <v>0</v>
      </c>
      <c r="S139" s="504">
        <f t="shared" si="19"/>
        <v>0</v>
      </c>
      <c r="T139" s="504">
        <f t="shared" si="20"/>
        <v>0</v>
      </c>
      <c r="U139" s="504">
        <f t="shared" si="20"/>
        <v>0</v>
      </c>
      <c r="V139" s="504">
        <f t="shared" si="20"/>
        <v>0</v>
      </c>
      <c r="W139" s="504">
        <f t="shared" si="20"/>
        <v>0</v>
      </c>
      <c r="X139" s="504">
        <f t="shared" si="20"/>
        <v>0</v>
      </c>
    </row>
    <row r="140" spans="1:24" s="503" customFormat="1" ht="35.25" customHeight="1" outlineLevel="1" x14ac:dyDescent="0.5">
      <c r="A140" s="481"/>
      <c r="B140" s="481"/>
      <c r="C140" s="505" t="s">
        <v>710</v>
      </c>
      <c r="D140" s="506">
        <f>VLOOKUP(C132,overview_of_services!$B$2:$I$88,8,FALSE)</f>
        <v>0</v>
      </c>
      <c r="E140" s="507"/>
      <c r="F140" s="499"/>
      <c r="G140" s="507"/>
      <c r="H140" s="507"/>
      <c r="I140" s="499"/>
      <c r="J140" s="499"/>
      <c r="K140" s="499"/>
      <c r="L140" s="500" t="s">
        <v>721</v>
      </c>
      <c r="M140" s="500" t="s">
        <v>721</v>
      </c>
      <c r="N140" s="501" t="s">
        <v>721</v>
      </c>
      <c r="O140" s="529" t="s">
        <v>721</v>
      </c>
      <c r="P140" s="504"/>
      <c r="R140" s="504">
        <f t="shared" si="19"/>
        <v>0</v>
      </c>
      <c r="S140" s="504">
        <f t="shared" si="19"/>
        <v>0</v>
      </c>
      <c r="T140" s="504">
        <f t="shared" si="20"/>
        <v>0</v>
      </c>
      <c r="U140" s="504">
        <f t="shared" si="20"/>
        <v>0</v>
      </c>
      <c r="V140" s="504">
        <f t="shared" si="20"/>
        <v>0</v>
      </c>
      <c r="W140" s="504">
        <f t="shared" si="20"/>
        <v>0</v>
      </c>
      <c r="X140" s="504">
        <f t="shared" si="20"/>
        <v>0</v>
      </c>
    </row>
    <row r="141" spans="1:24" s="503" customFormat="1" ht="6" customHeight="1" outlineLevel="2" thickBot="1" x14ac:dyDescent="0.4">
      <c r="A141" s="481"/>
      <c r="B141" s="481"/>
      <c r="C141" s="504"/>
      <c r="D141" s="504"/>
      <c r="E141" s="508"/>
      <c r="F141" s="508"/>
      <c r="G141" s="508"/>
      <c r="H141" s="508"/>
      <c r="I141" s="508"/>
      <c r="J141" s="508"/>
      <c r="K141" s="508"/>
      <c r="L141" s="504"/>
      <c r="M141" s="504"/>
      <c r="N141" s="504"/>
      <c r="O141" s="504"/>
      <c r="P141" s="504"/>
    </row>
    <row r="142" spans="1:24" s="503" customFormat="1" ht="30.75" customHeight="1" outlineLevel="2" thickBot="1" x14ac:dyDescent="0.4">
      <c r="A142" s="481"/>
      <c r="B142" s="481"/>
      <c r="C142" s="509"/>
      <c r="D142" s="509" t="s">
        <v>712</v>
      </c>
      <c r="E142" s="511" t="s">
        <v>729</v>
      </c>
      <c r="F142" s="511" t="s">
        <v>729</v>
      </c>
      <c r="G142" s="511" t="s">
        <v>729</v>
      </c>
      <c r="H142" s="511" t="s">
        <v>729</v>
      </c>
      <c r="I142" s="511" t="s">
        <v>729</v>
      </c>
      <c r="J142" s="511" t="s">
        <v>729</v>
      </c>
      <c r="K142" s="511" t="s">
        <v>729</v>
      </c>
      <c r="L142" s="511" t="s">
        <v>729</v>
      </c>
      <c r="M142" s="511" t="s">
        <v>729</v>
      </c>
      <c r="N142" s="511" t="s">
        <v>729</v>
      </c>
      <c r="O142" s="513"/>
      <c r="P142" s="504"/>
    </row>
    <row r="143" spans="1:24" s="503" customFormat="1" ht="30.75" customHeight="1" outlineLevel="2" thickBot="1" x14ac:dyDescent="0.4">
      <c r="A143" s="481"/>
      <c r="B143" s="481"/>
      <c r="C143" s="509"/>
      <c r="D143" s="509" t="s">
        <v>714</v>
      </c>
      <c r="E143" s="510"/>
      <c r="F143" s="512"/>
      <c r="G143" s="511"/>
      <c r="H143" s="511"/>
      <c r="I143" s="511"/>
      <c r="J143" s="511"/>
      <c r="K143" s="511"/>
      <c r="L143" s="517"/>
      <c r="M143" s="518"/>
      <c r="N143" s="513"/>
      <c r="O143" s="513"/>
      <c r="P143" s="504"/>
    </row>
    <row r="144" spans="1:24" ht="20.25" customHeight="1" outlineLevel="1" thickBot="1" x14ac:dyDescent="0.4">
      <c r="C144" s="481"/>
      <c r="D144" s="481"/>
      <c r="E144" s="481"/>
      <c r="F144" s="481"/>
      <c r="G144" s="482"/>
      <c r="H144" s="482"/>
      <c r="I144" s="482"/>
      <c r="J144" s="482"/>
      <c r="K144" s="482"/>
      <c r="L144" s="482"/>
      <c r="M144" s="482"/>
      <c r="N144" s="482"/>
      <c r="O144" s="481"/>
      <c r="P144" s="481"/>
    </row>
    <row r="145" spans="1:24" ht="17.25" customHeight="1" thickBot="1" x14ac:dyDescent="0.4">
      <c r="C145" s="483" t="s">
        <v>677</v>
      </c>
      <c r="D145" s="484" t="s">
        <v>678</v>
      </c>
      <c r="E145" s="481"/>
      <c r="F145" s="481"/>
      <c r="G145" s="482"/>
      <c r="H145" s="482"/>
      <c r="I145" s="482"/>
      <c r="J145" s="482"/>
      <c r="K145" s="482"/>
      <c r="L145" s="482"/>
      <c r="M145" s="482"/>
      <c r="N145" s="482"/>
      <c r="O145" s="481"/>
      <c r="P145" s="481"/>
    </row>
    <row r="146" spans="1:24" s="492" customFormat="1" ht="36.75" customHeight="1" thickBot="1" x14ac:dyDescent="0.7">
      <c r="A146" s="481"/>
      <c r="B146" s="486" t="s">
        <v>679</v>
      </c>
      <c r="C146" s="487" t="s">
        <v>439</v>
      </c>
      <c r="D146" s="514" t="s">
        <v>440</v>
      </c>
      <c r="E146" s="489"/>
      <c r="F146" s="490" t="s">
        <v>680</v>
      </c>
      <c r="G146" s="578" t="str">
        <f>VLOOKUP(C146,overview_of_services!$B$2:$I$88,2,FALSE)</f>
        <v>EV Charging - Grid</v>
      </c>
      <c r="H146" s="578"/>
      <c r="I146" s="490"/>
      <c r="J146" s="491"/>
      <c r="K146" s="491"/>
      <c r="L146" s="491"/>
      <c r="M146" s="491"/>
      <c r="N146" s="491"/>
      <c r="R146" s="492" t="s">
        <v>681</v>
      </c>
      <c r="S146" s="492">
        <f>ROW()</f>
        <v>146</v>
      </c>
    </row>
    <row r="147" spans="1:24" ht="5.25" customHeight="1" x14ac:dyDescent="0.35">
      <c r="C147" s="493"/>
      <c r="D147" s="493"/>
      <c r="E147" s="493"/>
      <c r="F147" s="493"/>
      <c r="G147" s="493"/>
      <c r="H147" s="493"/>
      <c r="I147" s="493"/>
      <c r="J147" s="493"/>
      <c r="K147" s="493"/>
      <c r="L147" s="493"/>
      <c r="M147" s="493"/>
      <c r="N147" s="493"/>
      <c r="O147" s="493"/>
      <c r="P147" s="481"/>
    </row>
    <row r="148" spans="1:24" ht="20.25" customHeight="1" outlineLevel="1" x14ac:dyDescent="0.35">
      <c r="C148" s="575" t="s">
        <v>682</v>
      </c>
      <c r="D148" s="575"/>
      <c r="E148" s="577" t="s">
        <v>683</v>
      </c>
      <c r="F148" s="577"/>
      <c r="G148" s="577"/>
      <c r="H148" s="577"/>
      <c r="I148" s="577"/>
      <c r="J148" s="577"/>
      <c r="K148" s="577"/>
      <c r="L148" s="573" t="s">
        <v>684</v>
      </c>
      <c r="M148" s="574"/>
      <c r="N148" s="569" t="s">
        <v>685</v>
      </c>
      <c r="O148" s="571" t="s">
        <v>686</v>
      </c>
      <c r="P148" s="481"/>
    </row>
    <row r="149" spans="1:24" ht="36.75" customHeight="1" outlineLevel="1" thickBot="1" x14ac:dyDescent="0.4">
      <c r="C149" s="576"/>
      <c r="D149" s="576"/>
      <c r="E149" s="495" t="s">
        <v>687</v>
      </c>
      <c r="F149" s="495" t="s">
        <v>688</v>
      </c>
      <c r="G149" s="495" t="s">
        <v>689</v>
      </c>
      <c r="H149" s="495" t="s">
        <v>690</v>
      </c>
      <c r="I149" s="495" t="s">
        <v>616</v>
      </c>
      <c r="J149" s="495" t="s">
        <v>691</v>
      </c>
      <c r="K149" s="495" t="s">
        <v>692</v>
      </c>
      <c r="L149" s="496" t="s">
        <v>693</v>
      </c>
      <c r="M149" s="496" t="s">
        <v>694</v>
      </c>
      <c r="N149" s="570"/>
      <c r="O149" s="572"/>
      <c r="P149" s="481"/>
    </row>
    <row r="150" spans="1:24" s="503" customFormat="1" ht="35.25" customHeight="1" outlineLevel="1" thickTop="1" x14ac:dyDescent="0.5">
      <c r="A150" s="481"/>
      <c r="B150" s="481"/>
      <c r="C150" s="497" t="s">
        <v>695</v>
      </c>
      <c r="D150" s="498" t="str">
        <f>VLOOKUP(C146,overview_of_services!$B$2:$I$88,4,FALSE)</f>
        <v>None</v>
      </c>
      <c r="E150" s="499">
        <v>0</v>
      </c>
      <c r="F150" s="499">
        <v>0</v>
      </c>
      <c r="G150" s="499">
        <v>0</v>
      </c>
      <c r="H150" s="499">
        <v>0</v>
      </c>
      <c r="I150" s="499">
        <v>0</v>
      </c>
      <c r="J150" s="499">
        <v>0</v>
      </c>
      <c r="K150" s="499">
        <v>0</v>
      </c>
      <c r="L150" s="530" t="s">
        <v>696</v>
      </c>
      <c r="M150" s="530" t="s">
        <v>696</v>
      </c>
      <c r="N150" s="531">
        <v>0</v>
      </c>
      <c r="O150" s="532" t="s">
        <v>721</v>
      </c>
      <c r="P150" s="504"/>
      <c r="R150" s="504">
        <f t="shared" ref="R150:S154" si="21">IF(E150=0,0,(IF(E150="+",1,(IF(E150="++",2,(IF(E150="+++",3,(IF(E150="++++",4,(IF(E150="-",-1,(IF(E150="--",-2,(IF(E150="---",-3,(IF(E150="----",-4,"NA")))))))))))))))))</f>
        <v>0</v>
      </c>
      <c r="S150" s="504">
        <f t="shared" si="21"/>
        <v>0</v>
      </c>
      <c r="T150" s="504">
        <f t="shared" ref="T150:X154" si="22">IF(G150=0,0,(IF(G150="+",1,(IF(G150="++",2,(IF(G150="+++",3,(IF(G150="++++",4,(IF(G150="-",-1,(IF(G150="--",-2,(IF(G150="---",-3,(IF(G150="----",-4,"NA")))))))))))))))))</f>
        <v>0</v>
      </c>
      <c r="U150" s="504">
        <f t="shared" si="22"/>
        <v>0</v>
      </c>
      <c r="V150" s="504">
        <f t="shared" si="22"/>
        <v>0</v>
      </c>
      <c r="W150" s="504">
        <f t="shared" si="22"/>
        <v>0</v>
      </c>
      <c r="X150" s="504">
        <f t="shared" si="22"/>
        <v>0</v>
      </c>
    </row>
    <row r="151" spans="1:24" s="503" customFormat="1" ht="35.25" customHeight="1" outlineLevel="1" x14ac:dyDescent="0.5">
      <c r="A151" s="481"/>
      <c r="B151" s="481"/>
      <c r="C151" s="505" t="s">
        <v>699</v>
      </c>
      <c r="D151" s="506" t="str">
        <f>VLOOKUP(C146,overview_of_services!$B$2:$I$88,5,FALSE)</f>
        <v>dumb</v>
      </c>
      <c r="E151" s="499">
        <v>0</v>
      </c>
      <c r="F151" s="499">
        <v>0</v>
      </c>
      <c r="G151" s="499" t="s">
        <v>704</v>
      </c>
      <c r="H151" s="499" t="s">
        <v>704</v>
      </c>
      <c r="I151" s="499">
        <v>0</v>
      </c>
      <c r="J151" s="499">
        <v>0</v>
      </c>
      <c r="K151" s="499">
        <v>0</v>
      </c>
      <c r="L151" s="530" t="s">
        <v>704</v>
      </c>
      <c r="M151" s="530" t="s">
        <v>704</v>
      </c>
      <c r="N151" s="531" t="s">
        <v>791</v>
      </c>
      <c r="O151" s="532" t="s">
        <v>721</v>
      </c>
      <c r="P151" s="504"/>
      <c r="R151" s="504">
        <f t="shared" si="21"/>
        <v>0</v>
      </c>
      <c r="S151" s="504">
        <f t="shared" si="21"/>
        <v>0</v>
      </c>
      <c r="T151" s="504">
        <f t="shared" si="22"/>
        <v>2</v>
      </c>
      <c r="U151" s="504">
        <f t="shared" si="22"/>
        <v>2</v>
      </c>
      <c r="V151" s="504">
        <f t="shared" si="22"/>
        <v>0</v>
      </c>
      <c r="W151" s="504">
        <f t="shared" si="22"/>
        <v>0</v>
      </c>
      <c r="X151" s="504">
        <f t="shared" si="22"/>
        <v>0</v>
      </c>
    </row>
    <row r="152" spans="1:24" s="503" customFormat="1" ht="35.25" customHeight="1" outlineLevel="1" x14ac:dyDescent="0.5">
      <c r="A152" s="481"/>
      <c r="B152" s="481"/>
      <c r="C152" s="505" t="s">
        <v>703</v>
      </c>
      <c r="D152" s="506">
        <f>VLOOKUP(C146,overview_of_services!$B$2:$I$88,6,FALSE)</f>
        <v>0</v>
      </c>
      <c r="E152" s="499"/>
      <c r="F152" s="499"/>
      <c r="G152" s="499"/>
      <c r="H152" s="499"/>
      <c r="I152" s="499"/>
      <c r="J152" s="499"/>
      <c r="K152" s="499"/>
      <c r="L152" s="500" t="s">
        <v>721</v>
      </c>
      <c r="M152" s="500" t="s">
        <v>721</v>
      </c>
      <c r="N152" s="501" t="s">
        <v>721</v>
      </c>
      <c r="O152" s="529" t="s">
        <v>721</v>
      </c>
      <c r="P152" s="504"/>
      <c r="R152" s="504">
        <f t="shared" si="21"/>
        <v>0</v>
      </c>
      <c r="S152" s="504">
        <f t="shared" si="21"/>
        <v>0</v>
      </c>
      <c r="T152" s="504">
        <f t="shared" si="22"/>
        <v>0</v>
      </c>
      <c r="U152" s="504">
        <f t="shared" si="22"/>
        <v>0</v>
      </c>
      <c r="V152" s="504">
        <f t="shared" si="22"/>
        <v>0</v>
      </c>
      <c r="W152" s="504">
        <f t="shared" si="22"/>
        <v>0</v>
      </c>
      <c r="X152" s="504">
        <f t="shared" si="22"/>
        <v>0</v>
      </c>
    </row>
    <row r="153" spans="1:24" s="503" customFormat="1" ht="35.25" customHeight="1" outlineLevel="1" x14ac:dyDescent="0.5">
      <c r="A153" s="481"/>
      <c r="B153" s="481"/>
      <c r="C153" s="505" t="s">
        <v>706</v>
      </c>
      <c r="D153" s="506">
        <f>VLOOKUP(C146,overview_of_services!$B$2:$I$88,7,FALSE)</f>
        <v>0</v>
      </c>
      <c r="E153" s="499"/>
      <c r="F153" s="499"/>
      <c r="G153" s="499"/>
      <c r="H153" s="499"/>
      <c r="I153" s="499"/>
      <c r="J153" s="499"/>
      <c r="K153" s="499"/>
      <c r="L153" s="500" t="s">
        <v>721</v>
      </c>
      <c r="M153" s="500" t="s">
        <v>721</v>
      </c>
      <c r="N153" s="501" t="s">
        <v>721</v>
      </c>
      <c r="O153" s="529" t="s">
        <v>721</v>
      </c>
      <c r="P153" s="504"/>
      <c r="R153" s="504">
        <f t="shared" si="21"/>
        <v>0</v>
      </c>
      <c r="S153" s="504">
        <f t="shared" si="21"/>
        <v>0</v>
      </c>
      <c r="T153" s="504">
        <f t="shared" si="22"/>
        <v>0</v>
      </c>
      <c r="U153" s="504">
        <f t="shared" si="22"/>
        <v>0</v>
      </c>
      <c r="V153" s="504">
        <f t="shared" si="22"/>
        <v>0</v>
      </c>
      <c r="W153" s="504">
        <f t="shared" si="22"/>
        <v>0</v>
      </c>
      <c r="X153" s="504">
        <f t="shared" si="22"/>
        <v>0</v>
      </c>
    </row>
    <row r="154" spans="1:24" s="503" customFormat="1" ht="35.25" customHeight="1" outlineLevel="1" x14ac:dyDescent="0.5">
      <c r="A154" s="481"/>
      <c r="B154" s="481"/>
      <c r="C154" s="505" t="s">
        <v>710</v>
      </c>
      <c r="D154" s="506">
        <f>VLOOKUP(C146,overview_of_services!$B$2:$I$88,8,FALSE)</f>
        <v>0</v>
      </c>
      <c r="E154" s="507"/>
      <c r="F154" s="499"/>
      <c r="G154" s="507"/>
      <c r="H154" s="507"/>
      <c r="I154" s="499"/>
      <c r="J154" s="499"/>
      <c r="K154" s="499"/>
      <c r="L154" s="500" t="s">
        <v>721</v>
      </c>
      <c r="M154" s="500" t="s">
        <v>721</v>
      </c>
      <c r="N154" s="501" t="s">
        <v>721</v>
      </c>
      <c r="O154" s="529" t="s">
        <v>721</v>
      </c>
      <c r="P154" s="504"/>
      <c r="R154" s="504">
        <f t="shared" si="21"/>
        <v>0</v>
      </c>
      <c r="S154" s="504">
        <f t="shared" si="21"/>
        <v>0</v>
      </c>
      <c r="T154" s="504">
        <f t="shared" si="22"/>
        <v>0</v>
      </c>
      <c r="U154" s="504">
        <f t="shared" si="22"/>
        <v>0</v>
      </c>
      <c r="V154" s="504">
        <f t="shared" si="22"/>
        <v>0</v>
      </c>
      <c r="W154" s="504">
        <f t="shared" si="22"/>
        <v>0</v>
      </c>
      <c r="X154" s="504">
        <f t="shared" si="22"/>
        <v>0</v>
      </c>
    </row>
    <row r="155" spans="1:24" s="503" customFormat="1" ht="6" customHeight="1" outlineLevel="2" thickBot="1" x14ac:dyDescent="0.4">
      <c r="A155" s="481"/>
      <c r="B155" s="481"/>
      <c r="C155" s="504"/>
      <c r="D155" s="504"/>
      <c r="E155" s="508"/>
      <c r="F155" s="508"/>
      <c r="G155" s="508"/>
      <c r="H155" s="508"/>
      <c r="I155" s="508"/>
      <c r="J155" s="508"/>
      <c r="K155" s="508"/>
      <c r="L155" s="504"/>
      <c r="M155" s="504"/>
      <c r="N155" s="504"/>
      <c r="O155" s="504"/>
      <c r="P155" s="504"/>
    </row>
    <row r="156" spans="1:24" s="503" customFormat="1" ht="30.75" customHeight="1" outlineLevel="2" thickBot="1" x14ac:dyDescent="0.4">
      <c r="A156" s="481"/>
      <c r="B156" s="481"/>
      <c r="C156" s="509"/>
      <c r="D156" s="509" t="s">
        <v>712</v>
      </c>
      <c r="E156" s="511" t="s">
        <v>729</v>
      </c>
      <c r="F156" s="511" t="s">
        <v>729</v>
      </c>
      <c r="G156" s="511" t="s">
        <v>729</v>
      </c>
      <c r="H156" s="511" t="s">
        <v>729</v>
      </c>
      <c r="I156" s="511" t="s">
        <v>729</v>
      </c>
      <c r="J156" s="511" t="s">
        <v>729</v>
      </c>
      <c r="K156" s="511" t="s">
        <v>729</v>
      </c>
      <c r="L156" s="511" t="s">
        <v>729</v>
      </c>
      <c r="M156" s="511" t="s">
        <v>729</v>
      </c>
      <c r="N156" s="511" t="s">
        <v>729</v>
      </c>
      <c r="O156" s="513"/>
      <c r="P156" s="504"/>
    </row>
    <row r="157" spans="1:24" s="503" customFormat="1" ht="30.75" customHeight="1" outlineLevel="2" thickBot="1" x14ac:dyDescent="0.4">
      <c r="A157" s="481"/>
      <c r="B157" s="481"/>
      <c r="C157" s="509"/>
      <c r="D157" s="509" t="s">
        <v>714</v>
      </c>
      <c r="E157" s="510" t="s">
        <v>808</v>
      </c>
      <c r="F157" s="512"/>
      <c r="G157" s="511"/>
      <c r="H157" s="511"/>
      <c r="I157" s="511"/>
      <c r="J157" s="511"/>
      <c r="K157" s="511"/>
      <c r="L157" s="517"/>
      <c r="M157" s="518"/>
      <c r="N157" s="513"/>
      <c r="O157" s="513"/>
      <c r="P157" s="504"/>
    </row>
    <row r="158" spans="1:24" ht="20.25" customHeight="1" outlineLevel="1" thickBot="1" x14ac:dyDescent="0.4">
      <c r="C158" s="481"/>
      <c r="D158" s="481"/>
      <c r="E158" s="481"/>
      <c r="F158" s="481"/>
      <c r="G158" s="482"/>
      <c r="H158" s="482"/>
      <c r="I158" s="482"/>
      <c r="J158" s="482"/>
      <c r="K158" s="482"/>
      <c r="L158" s="482"/>
      <c r="M158" s="482"/>
      <c r="N158" s="482"/>
      <c r="O158" s="481"/>
      <c r="P158" s="481"/>
    </row>
    <row r="159" spans="1:24" ht="17.25" customHeight="1" thickBot="1" x14ac:dyDescent="0.4">
      <c r="C159" s="483" t="s">
        <v>677</v>
      </c>
      <c r="D159" s="484" t="s">
        <v>678</v>
      </c>
      <c r="E159" s="481"/>
      <c r="F159" s="481"/>
      <c r="G159" s="482"/>
      <c r="H159" s="482"/>
      <c r="I159" s="482"/>
      <c r="J159" s="482"/>
      <c r="K159" s="482"/>
      <c r="L159" s="482"/>
      <c r="M159" s="482"/>
      <c r="N159" s="482"/>
      <c r="O159" s="481"/>
      <c r="P159" s="481"/>
    </row>
    <row r="160" spans="1:24" s="492" customFormat="1" ht="36.75" customHeight="1" thickBot="1" x14ac:dyDescent="0.7">
      <c r="A160" s="481"/>
      <c r="B160" s="486" t="s">
        <v>679</v>
      </c>
      <c r="C160" s="487" t="s">
        <v>442</v>
      </c>
      <c r="D160" s="514" t="s">
        <v>443</v>
      </c>
      <c r="E160" s="489"/>
      <c r="F160" s="490" t="s">
        <v>680</v>
      </c>
      <c r="G160" s="578" t="str">
        <f>VLOOKUP(C160,overview_of_services!$B$2:$I$88,2,FALSE)</f>
        <v>EV Charging - Grid</v>
      </c>
      <c r="H160" s="578"/>
      <c r="I160" s="490"/>
      <c r="J160" s="491"/>
      <c r="K160" s="491"/>
      <c r="L160" s="491"/>
      <c r="M160" s="491"/>
      <c r="N160" s="491"/>
      <c r="R160" s="492" t="s">
        <v>681</v>
      </c>
      <c r="S160" s="492">
        <f>ROW()</f>
        <v>160</v>
      </c>
    </row>
    <row r="161" spans="1:24" ht="5.25" customHeight="1" x14ac:dyDescent="0.35">
      <c r="C161" s="493"/>
      <c r="D161" s="493"/>
      <c r="E161" s="493"/>
      <c r="F161" s="493"/>
      <c r="G161" s="493"/>
      <c r="H161" s="493"/>
      <c r="I161" s="493"/>
      <c r="J161" s="493"/>
      <c r="K161" s="493"/>
      <c r="L161" s="493"/>
      <c r="M161" s="493"/>
      <c r="N161" s="493"/>
      <c r="O161" s="493"/>
      <c r="P161" s="481"/>
    </row>
    <row r="162" spans="1:24" ht="20.25" customHeight="1" outlineLevel="1" x14ac:dyDescent="0.35">
      <c r="C162" s="575" t="s">
        <v>682</v>
      </c>
      <c r="D162" s="575"/>
      <c r="E162" s="577" t="s">
        <v>683</v>
      </c>
      <c r="F162" s="577"/>
      <c r="G162" s="577"/>
      <c r="H162" s="577"/>
      <c r="I162" s="577"/>
      <c r="J162" s="577"/>
      <c r="K162" s="577"/>
      <c r="L162" s="573" t="s">
        <v>684</v>
      </c>
      <c r="M162" s="574"/>
      <c r="N162" s="569" t="s">
        <v>685</v>
      </c>
      <c r="O162" s="571" t="s">
        <v>686</v>
      </c>
      <c r="P162" s="481"/>
    </row>
    <row r="163" spans="1:24" ht="36.75" customHeight="1" outlineLevel="1" thickBot="1" x14ac:dyDescent="0.4">
      <c r="C163" s="576"/>
      <c r="D163" s="576"/>
      <c r="E163" s="495" t="s">
        <v>687</v>
      </c>
      <c r="F163" s="495" t="s">
        <v>688</v>
      </c>
      <c r="G163" s="495" t="s">
        <v>689</v>
      </c>
      <c r="H163" s="495" t="s">
        <v>690</v>
      </c>
      <c r="I163" s="495" t="s">
        <v>616</v>
      </c>
      <c r="J163" s="495" t="s">
        <v>691</v>
      </c>
      <c r="K163" s="495" t="s">
        <v>692</v>
      </c>
      <c r="L163" s="496" t="s">
        <v>693</v>
      </c>
      <c r="M163" s="496" t="s">
        <v>694</v>
      </c>
      <c r="N163" s="570"/>
      <c r="O163" s="572"/>
      <c r="P163" s="481"/>
    </row>
    <row r="164" spans="1:24" s="503" customFormat="1" ht="35.25" customHeight="1" outlineLevel="1" thickTop="1" x14ac:dyDescent="0.5">
      <c r="A164" s="481"/>
      <c r="B164" s="481"/>
      <c r="C164" s="497" t="s">
        <v>695</v>
      </c>
      <c r="D164" s="498" t="str">
        <f>VLOOKUP(C160,overview_of_services!$B$2:$I$88,4,FALSE)</f>
        <v>None</v>
      </c>
      <c r="E164" s="499">
        <v>0</v>
      </c>
      <c r="F164" s="499">
        <v>0</v>
      </c>
      <c r="G164" s="499">
        <v>0</v>
      </c>
      <c r="H164" s="499">
        <v>0</v>
      </c>
      <c r="I164" s="499">
        <v>0</v>
      </c>
      <c r="J164" s="499">
        <v>0</v>
      </c>
      <c r="K164" s="499">
        <v>0</v>
      </c>
      <c r="L164" s="500" t="s">
        <v>696</v>
      </c>
      <c r="M164" s="500" t="s">
        <v>696</v>
      </c>
      <c r="N164" s="501">
        <v>0</v>
      </c>
      <c r="O164" s="529" t="s">
        <v>721</v>
      </c>
      <c r="P164" s="504"/>
      <c r="R164" s="504">
        <f t="shared" ref="R164:S168" si="23">IF(E164=0,0,(IF(E164="+",1,(IF(E164="++",2,(IF(E164="+++",3,(IF(E164="++++",4,(IF(E164="-",-1,(IF(E164="--",-2,(IF(E164="---",-3,(IF(E164="----",-4,"NA")))))))))))))))))</f>
        <v>0</v>
      </c>
      <c r="S164" s="504">
        <f t="shared" si="23"/>
        <v>0</v>
      </c>
      <c r="T164" s="504">
        <f t="shared" ref="T164:X168" si="24">IF(G164=0,0,(IF(G164="+",1,(IF(G164="++",2,(IF(G164="+++",3,(IF(G164="++++",4,(IF(G164="-",-1,(IF(G164="--",-2,(IF(G164="---",-3,(IF(G164="----",-4,"NA")))))))))))))))))</f>
        <v>0</v>
      </c>
      <c r="U164" s="504">
        <f t="shared" si="24"/>
        <v>0</v>
      </c>
      <c r="V164" s="504">
        <f t="shared" si="24"/>
        <v>0</v>
      </c>
      <c r="W164" s="504">
        <f t="shared" si="24"/>
        <v>0</v>
      </c>
      <c r="X164" s="504">
        <f t="shared" si="24"/>
        <v>0</v>
      </c>
    </row>
    <row r="165" spans="1:24" s="503" customFormat="1" ht="35.25" customHeight="1" outlineLevel="1" x14ac:dyDescent="0.5">
      <c r="A165" s="481"/>
      <c r="B165" s="481"/>
      <c r="C165" s="505" t="s">
        <v>699</v>
      </c>
      <c r="D165" s="506" t="str">
        <f>VLOOKUP(C160,overview_of_services!$B$2:$I$88,5,FALSE)</f>
        <v>exists</v>
      </c>
      <c r="E165" s="499" t="s">
        <v>700</v>
      </c>
      <c r="F165" s="507" t="s">
        <v>707</v>
      </c>
      <c r="G165" s="499">
        <v>0</v>
      </c>
      <c r="H165" s="499" t="s">
        <v>700</v>
      </c>
      <c r="I165" s="499">
        <v>0</v>
      </c>
      <c r="J165" s="499" t="s">
        <v>700</v>
      </c>
      <c r="K165" s="499">
        <v>0</v>
      </c>
      <c r="L165" s="500" t="s">
        <v>721</v>
      </c>
      <c r="M165" s="500" t="s">
        <v>721</v>
      </c>
      <c r="N165" s="501" t="s">
        <v>721</v>
      </c>
      <c r="O165" s="529" t="s">
        <v>721</v>
      </c>
      <c r="P165" s="504"/>
      <c r="R165" s="504">
        <f t="shared" si="23"/>
        <v>1</v>
      </c>
      <c r="S165" s="504">
        <f t="shared" si="23"/>
        <v>3</v>
      </c>
      <c r="T165" s="504">
        <f t="shared" si="24"/>
        <v>0</v>
      </c>
      <c r="U165" s="504">
        <f t="shared" si="24"/>
        <v>1</v>
      </c>
      <c r="V165" s="504">
        <f t="shared" si="24"/>
        <v>0</v>
      </c>
      <c r="W165" s="504">
        <f t="shared" si="24"/>
        <v>1</v>
      </c>
      <c r="X165" s="504">
        <f t="shared" si="24"/>
        <v>0</v>
      </c>
    </row>
    <row r="166" spans="1:24" s="503" customFormat="1" ht="35.25" customHeight="1" outlineLevel="1" x14ac:dyDescent="0.5">
      <c r="A166" s="481"/>
      <c r="B166" s="481"/>
      <c r="C166" s="505" t="s">
        <v>703</v>
      </c>
      <c r="D166" s="506">
        <f>VLOOKUP(C160,overview_of_services!$B$2:$I$88,6,FALSE)</f>
        <v>0</v>
      </c>
      <c r="E166" s="499"/>
      <c r="F166" s="499"/>
      <c r="G166" s="499"/>
      <c r="H166" s="499"/>
      <c r="I166" s="499"/>
      <c r="J166" s="499"/>
      <c r="K166" s="499"/>
      <c r="L166" s="500" t="s">
        <v>721</v>
      </c>
      <c r="M166" s="500" t="s">
        <v>721</v>
      </c>
      <c r="N166" s="501" t="s">
        <v>721</v>
      </c>
      <c r="O166" s="529" t="s">
        <v>721</v>
      </c>
      <c r="P166" s="504"/>
      <c r="R166" s="504">
        <f t="shared" si="23"/>
        <v>0</v>
      </c>
      <c r="S166" s="504">
        <f t="shared" si="23"/>
        <v>0</v>
      </c>
      <c r="T166" s="504">
        <f t="shared" si="24"/>
        <v>0</v>
      </c>
      <c r="U166" s="504">
        <f t="shared" si="24"/>
        <v>0</v>
      </c>
      <c r="V166" s="504">
        <f t="shared" si="24"/>
        <v>0</v>
      </c>
      <c r="W166" s="504">
        <f t="shared" si="24"/>
        <v>0</v>
      </c>
      <c r="X166" s="504">
        <f t="shared" si="24"/>
        <v>0</v>
      </c>
    </row>
    <row r="167" spans="1:24" s="503" customFormat="1" ht="35.25" customHeight="1" outlineLevel="1" x14ac:dyDescent="0.5">
      <c r="A167" s="481"/>
      <c r="B167" s="481"/>
      <c r="C167" s="505" t="s">
        <v>706</v>
      </c>
      <c r="D167" s="506">
        <f>VLOOKUP(C160,overview_of_services!$B$2:$I$88,7,FALSE)</f>
        <v>0</v>
      </c>
      <c r="E167" s="499"/>
      <c r="F167" s="499"/>
      <c r="G167" s="499"/>
      <c r="H167" s="499"/>
      <c r="I167" s="499"/>
      <c r="J167" s="499"/>
      <c r="K167" s="499"/>
      <c r="L167" s="500" t="s">
        <v>721</v>
      </c>
      <c r="M167" s="500" t="s">
        <v>721</v>
      </c>
      <c r="N167" s="501" t="s">
        <v>721</v>
      </c>
      <c r="O167" s="529" t="s">
        <v>721</v>
      </c>
      <c r="P167" s="504"/>
      <c r="R167" s="504">
        <f t="shared" si="23"/>
        <v>0</v>
      </c>
      <c r="S167" s="504">
        <f t="shared" si="23"/>
        <v>0</v>
      </c>
      <c r="T167" s="504">
        <f t="shared" si="24"/>
        <v>0</v>
      </c>
      <c r="U167" s="504">
        <f t="shared" si="24"/>
        <v>0</v>
      </c>
      <c r="V167" s="504">
        <f t="shared" si="24"/>
        <v>0</v>
      </c>
      <c r="W167" s="504">
        <f t="shared" si="24"/>
        <v>0</v>
      </c>
      <c r="X167" s="504">
        <f t="shared" si="24"/>
        <v>0</v>
      </c>
    </row>
    <row r="168" spans="1:24" s="503" customFormat="1" ht="35.25" customHeight="1" outlineLevel="1" x14ac:dyDescent="0.5">
      <c r="A168" s="481"/>
      <c r="B168" s="481"/>
      <c r="C168" s="505" t="s">
        <v>710</v>
      </c>
      <c r="D168" s="506">
        <f>VLOOKUP(C160,overview_of_services!$B$2:$I$88,8,FALSE)</f>
        <v>0</v>
      </c>
      <c r="E168" s="507"/>
      <c r="F168" s="499"/>
      <c r="G168" s="507"/>
      <c r="H168" s="507"/>
      <c r="I168" s="499"/>
      <c r="J168" s="499"/>
      <c r="K168" s="499"/>
      <c r="L168" s="500" t="s">
        <v>721</v>
      </c>
      <c r="M168" s="500" t="s">
        <v>721</v>
      </c>
      <c r="N168" s="501" t="s">
        <v>721</v>
      </c>
      <c r="O168" s="529" t="s">
        <v>721</v>
      </c>
      <c r="P168" s="504"/>
      <c r="R168" s="504">
        <f t="shared" si="23"/>
        <v>0</v>
      </c>
      <c r="S168" s="504">
        <f t="shared" si="23"/>
        <v>0</v>
      </c>
      <c r="T168" s="504">
        <f t="shared" si="24"/>
        <v>0</v>
      </c>
      <c r="U168" s="504">
        <f t="shared" si="24"/>
        <v>0</v>
      </c>
      <c r="V168" s="504">
        <f t="shared" si="24"/>
        <v>0</v>
      </c>
      <c r="W168" s="504">
        <f t="shared" si="24"/>
        <v>0</v>
      </c>
      <c r="X168" s="504">
        <f t="shared" si="24"/>
        <v>0</v>
      </c>
    </row>
    <row r="169" spans="1:24" s="503" customFormat="1" ht="6" customHeight="1" outlineLevel="2" thickBot="1" x14ac:dyDescent="0.4">
      <c r="A169" s="481"/>
      <c r="B169" s="481"/>
      <c r="C169" s="504"/>
      <c r="D169" s="504"/>
      <c r="E169" s="508"/>
      <c r="F169" s="508"/>
      <c r="G169" s="508"/>
      <c r="H169" s="508"/>
      <c r="I169" s="508"/>
      <c r="J169" s="508"/>
      <c r="K169" s="508"/>
      <c r="L169" s="504"/>
      <c r="M169" s="504"/>
      <c r="N169" s="504"/>
      <c r="O169" s="504"/>
      <c r="P169" s="504"/>
    </row>
    <row r="170" spans="1:24" s="503" customFormat="1" ht="30.75" customHeight="1" outlineLevel="2" thickBot="1" x14ac:dyDescent="0.4">
      <c r="A170" s="481"/>
      <c r="B170" s="481"/>
      <c r="C170" s="509"/>
      <c r="D170" s="509" t="s">
        <v>712</v>
      </c>
      <c r="E170" s="511" t="s">
        <v>729</v>
      </c>
      <c r="F170" s="511" t="s">
        <v>729</v>
      </c>
      <c r="G170" s="511" t="s">
        <v>729</v>
      </c>
      <c r="H170" s="511" t="s">
        <v>729</v>
      </c>
      <c r="I170" s="511" t="s">
        <v>729</v>
      </c>
      <c r="J170" s="511" t="s">
        <v>729</v>
      </c>
      <c r="K170" s="511" t="s">
        <v>729</v>
      </c>
      <c r="L170" s="511" t="s">
        <v>729</v>
      </c>
      <c r="M170" s="511" t="s">
        <v>729</v>
      </c>
      <c r="N170" s="511" t="s">
        <v>729</v>
      </c>
      <c r="O170" s="513"/>
      <c r="P170" s="504"/>
    </row>
    <row r="171" spans="1:24" s="503" customFormat="1" ht="30.75" customHeight="1" outlineLevel="2" thickBot="1" x14ac:dyDescent="0.4">
      <c r="A171" s="481"/>
      <c r="B171" s="481"/>
      <c r="C171" s="509"/>
      <c r="D171" s="509" t="s">
        <v>714</v>
      </c>
      <c r="E171" s="510"/>
      <c r="F171" s="512"/>
      <c r="G171" s="511"/>
      <c r="H171" s="511"/>
      <c r="I171" s="511"/>
      <c r="J171" s="511"/>
      <c r="K171" s="511"/>
      <c r="L171" s="517"/>
      <c r="M171" s="518"/>
      <c r="N171" s="513"/>
      <c r="O171" s="513"/>
      <c r="P171" s="504"/>
    </row>
    <row r="172" spans="1:24" ht="15" thickBot="1" x14ac:dyDescent="0.4"/>
    <row r="173" spans="1:24" ht="17.25" customHeight="1" thickBot="1" x14ac:dyDescent="0.4">
      <c r="C173" s="483" t="s">
        <v>677</v>
      </c>
      <c r="D173" s="484" t="s">
        <v>678</v>
      </c>
      <c r="E173" s="481"/>
      <c r="F173" s="481"/>
      <c r="G173" s="482"/>
      <c r="H173" s="482"/>
      <c r="I173" s="482"/>
      <c r="J173" s="482"/>
      <c r="K173" s="482"/>
      <c r="L173" s="482"/>
      <c r="M173" s="482"/>
      <c r="N173" s="482"/>
      <c r="O173" s="481"/>
      <c r="P173" s="481"/>
    </row>
    <row r="174" spans="1:24" s="492" customFormat="1" ht="36.75" customHeight="1" thickBot="1" x14ac:dyDescent="0.7">
      <c r="A174" s="481"/>
      <c r="B174" s="486" t="s">
        <v>679</v>
      </c>
      <c r="C174" s="487" t="s">
        <v>445</v>
      </c>
      <c r="D174" s="514" t="str">
        <f>VLOOKUP(C174,overview_of_services!$B$2:$I$88,3,FALSE)</f>
        <v>EV Charging Capacity</v>
      </c>
      <c r="E174" s="489"/>
      <c r="F174" s="490" t="s">
        <v>680</v>
      </c>
      <c r="G174" s="578" t="str">
        <f>VLOOKUP(C174,overview_of_services!$B$2:$I$88,2,FALSE)</f>
        <v>EV Charging</v>
      </c>
      <c r="H174" s="578"/>
      <c r="I174" s="490"/>
      <c r="J174" s="491"/>
      <c r="K174" s="491"/>
      <c r="L174" s="491"/>
      <c r="M174" s="491"/>
      <c r="N174" s="491"/>
      <c r="R174" s="492" t="s">
        <v>681</v>
      </c>
      <c r="S174" s="492">
        <f>ROW()</f>
        <v>174</v>
      </c>
    </row>
    <row r="175" spans="1:24" ht="5.25" customHeight="1" x14ac:dyDescent="0.35">
      <c r="C175" s="493"/>
      <c r="D175" s="493"/>
      <c r="E175" s="493"/>
      <c r="F175" s="493"/>
      <c r="G175" s="493"/>
      <c r="H175" s="493"/>
      <c r="I175" s="493"/>
      <c r="J175" s="493"/>
      <c r="K175" s="493"/>
      <c r="L175" s="493"/>
      <c r="M175" s="493"/>
      <c r="N175" s="493"/>
      <c r="O175" s="493"/>
      <c r="P175" s="481"/>
    </row>
    <row r="176" spans="1:24" ht="20.25" customHeight="1" outlineLevel="1" x14ac:dyDescent="0.35">
      <c r="C176" s="575" t="s">
        <v>682</v>
      </c>
      <c r="D176" s="575"/>
      <c r="E176" s="577" t="s">
        <v>683</v>
      </c>
      <c r="F176" s="577"/>
      <c r="G176" s="577"/>
      <c r="H176" s="577"/>
      <c r="I176" s="577"/>
      <c r="J176" s="577"/>
      <c r="K176" s="577"/>
      <c r="L176" s="573" t="s">
        <v>684</v>
      </c>
      <c r="M176" s="574"/>
      <c r="N176" s="569" t="s">
        <v>685</v>
      </c>
      <c r="O176" s="571" t="s">
        <v>686</v>
      </c>
      <c r="P176" s="481"/>
    </row>
    <row r="177" spans="1:24" ht="36.75" customHeight="1" outlineLevel="1" thickBot="1" x14ac:dyDescent="0.4">
      <c r="C177" s="576"/>
      <c r="D177" s="576"/>
      <c r="E177" s="495" t="s">
        <v>687</v>
      </c>
      <c r="F177" s="495" t="s">
        <v>688</v>
      </c>
      <c r="G177" s="495" t="s">
        <v>689</v>
      </c>
      <c r="H177" s="495" t="s">
        <v>690</v>
      </c>
      <c r="I177" s="495" t="s">
        <v>616</v>
      </c>
      <c r="J177" s="495" t="s">
        <v>691</v>
      </c>
      <c r="K177" s="495" t="s">
        <v>692</v>
      </c>
      <c r="L177" s="496" t="s">
        <v>693</v>
      </c>
      <c r="M177" s="496" t="s">
        <v>694</v>
      </c>
      <c r="N177" s="570"/>
      <c r="O177" s="572"/>
      <c r="P177" s="481"/>
    </row>
    <row r="178" spans="1:24" s="503" customFormat="1" ht="35.25" customHeight="1" outlineLevel="1" thickTop="1" x14ac:dyDescent="0.5">
      <c r="A178" s="481"/>
      <c r="B178" s="481"/>
      <c r="C178" s="497" t="s">
        <v>695</v>
      </c>
      <c r="D178" s="498" t="str">
        <f>VLOOKUP(C174,overview_of_services!$B$2:$I$88,4,FALSE)</f>
        <v>not present</v>
      </c>
      <c r="E178" s="499">
        <v>0</v>
      </c>
      <c r="F178" s="499">
        <v>0</v>
      </c>
      <c r="G178" s="499">
        <v>0</v>
      </c>
      <c r="H178" s="499">
        <v>0</v>
      </c>
      <c r="I178" s="499">
        <v>0</v>
      </c>
      <c r="J178" s="499">
        <v>0</v>
      </c>
      <c r="K178" s="499">
        <v>0</v>
      </c>
      <c r="L178" s="500" t="s">
        <v>696</v>
      </c>
      <c r="M178" s="500" t="s">
        <v>696</v>
      </c>
      <c r="N178" s="501">
        <v>0</v>
      </c>
      <c r="O178" s="529" t="s">
        <v>721</v>
      </c>
      <c r="P178" s="504"/>
      <c r="R178" s="504">
        <f t="shared" ref="R178:S182" si="25">IF(E178=0,0,(IF(E178="+",1,(IF(E178="++",2,(IF(E178="+++",3,(IF(E178="++++",4,(IF(E178="-",-1,(IF(E178="--",-2,(IF(E178="---",-3,(IF(E178="----",-4,"NA")))))))))))))))))</f>
        <v>0</v>
      </c>
      <c r="S178" s="504">
        <f t="shared" si="25"/>
        <v>0</v>
      </c>
      <c r="T178" s="504">
        <f t="shared" ref="T178:X182" si="26">IF(G178=0,0,(IF(G178="+",1,(IF(G178="++",2,(IF(G178="+++",3,(IF(G178="++++",4,(IF(G178="-",-1,(IF(G178="--",-2,(IF(G178="---",-3,(IF(G178="----",-4,"NA")))))))))))))))))</f>
        <v>0</v>
      </c>
      <c r="U178" s="504">
        <f t="shared" si="26"/>
        <v>0</v>
      </c>
      <c r="V178" s="504">
        <f t="shared" si="26"/>
        <v>0</v>
      </c>
      <c r="W178" s="504">
        <f t="shared" si="26"/>
        <v>0</v>
      </c>
      <c r="X178" s="504">
        <f t="shared" si="26"/>
        <v>0</v>
      </c>
    </row>
    <row r="179" spans="1:24" s="503" customFormat="1" ht="35.25" customHeight="1" outlineLevel="1" x14ac:dyDescent="0.5">
      <c r="A179" s="481"/>
      <c r="B179" s="481"/>
      <c r="C179" s="505" t="s">
        <v>699</v>
      </c>
      <c r="D179" s="506" t="str">
        <f>VLOOKUP(C174,overview_of_services!$B$2:$I$88,5,FALSE)</f>
        <v>ducting (or simple power plug) available</v>
      </c>
      <c r="E179" s="499">
        <v>0</v>
      </c>
      <c r="F179" s="499">
        <v>0</v>
      </c>
      <c r="G179" s="499">
        <v>0</v>
      </c>
      <c r="H179" s="499" t="s">
        <v>700</v>
      </c>
      <c r="I179" s="499">
        <v>0</v>
      </c>
      <c r="J179" s="499">
        <v>0</v>
      </c>
      <c r="K179" s="499">
        <v>0</v>
      </c>
      <c r="L179" s="500" t="s">
        <v>721</v>
      </c>
      <c r="M179" s="500" t="s">
        <v>721</v>
      </c>
      <c r="N179" s="501" t="s">
        <v>721</v>
      </c>
      <c r="O179" s="529" t="s">
        <v>721</v>
      </c>
      <c r="P179" s="504"/>
      <c r="R179" s="504">
        <f t="shared" si="25"/>
        <v>0</v>
      </c>
      <c r="S179" s="504">
        <f t="shared" si="25"/>
        <v>0</v>
      </c>
      <c r="T179" s="504">
        <f t="shared" si="26"/>
        <v>0</v>
      </c>
      <c r="U179" s="504">
        <f t="shared" si="26"/>
        <v>1</v>
      </c>
      <c r="V179" s="504">
        <f t="shared" si="26"/>
        <v>0</v>
      </c>
      <c r="W179" s="504">
        <f t="shared" si="26"/>
        <v>0</v>
      </c>
      <c r="X179" s="504">
        <f t="shared" si="26"/>
        <v>0</v>
      </c>
    </row>
    <row r="180" spans="1:24" s="503" customFormat="1" ht="35.25" customHeight="1" outlineLevel="1" x14ac:dyDescent="0.5">
      <c r="A180" s="481"/>
      <c r="B180" s="481"/>
      <c r="C180" s="505" t="s">
        <v>703</v>
      </c>
      <c r="D180" s="506" t="str">
        <f>VLOOKUP(C174,overview_of_services!$B$2:$I$88,6,FALSE)</f>
        <v>0-9% of parking spaces has recharging points</v>
      </c>
      <c r="E180" s="499">
        <v>0</v>
      </c>
      <c r="F180" s="499">
        <v>0</v>
      </c>
      <c r="G180" s="499">
        <v>0</v>
      </c>
      <c r="H180" s="507" t="s">
        <v>700</v>
      </c>
      <c r="I180" s="499">
        <v>0</v>
      </c>
      <c r="J180" s="499">
        <v>0</v>
      </c>
      <c r="K180" s="499">
        <v>0</v>
      </c>
      <c r="L180" s="500" t="s">
        <v>721</v>
      </c>
      <c r="M180" s="500" t="s">
        <v>721</v>
      </c>
      <c r="N180" s="501" t="s">
        <v>721</v>
      </c>
      <c r="O180" s="529" t="s">
        <v>721</v>
      </c>
      <c r="P180" s="504"/>
      <c r="R180" s="504">
        <f t="shared" si="25"/>
        <v>0</v>
      </c>
      <c r="S180" s="504">
        <f t="shared" si="25"/>
        <v>0</v>
      </c>
      <c r="T180" s="504">
        <f t="shared" si="26"/>
        <v>0</v>
      </c>
      <c r="U180" s="504">
        <f t="shared" si="26"/>
        <v>1</v>
      </c>
      <c r="V180" s="504">
        <f t="shared" si="26"/>
        <v>0</v>
      </c>
      <c r="W180" s="504">
        <f t="shared" si="26"/>
        <v>0</v>
      </c>
      <c r="X180" s="504">
        <f t="shared" si="26"/>
        <v>0</v>
      </c>
    </row>
    <row r="181" spans="1:24" s="503" customFormat="1" ht="35.25" customHeight="1" outlineLevel="1" x14ac:dyDescent="0.5">
      <c r="A181" s="481"/>
      <c r="B181" s="481"/>
      <c r="C181" s="505" t="s">
        <v>706</v>
      </c>
      <c r="D181" s="506" t="str">
        <f>VLOOKUP(C174,overview_of_services!$B$2:$I$88,7,FALSE)</f>
        <v>10-50% or parking spaces has recharging point</v>
      </c>
      <c r="E181" s="499">
        <v>0</v>
      </c>
      <c r="F181" s="499">
        <v>0</v>
      </c>
      <c r="G181" s="499">
        <v>0</v>
      </c>
      <c r="H181" s="507" t="s">
        <v>704</v>
      </c>
      <c r="I181" s="499">
        <v>0</v>
      </c>
      <c r="J181" s="499">
        <v>0</v>
      </c>
      <c r="K181" s="499">
        <v>0</v>
      </c>
      <c r="L181" s="500" t="s">
        <v>721</v>
      </c>
      <c r="M181" s="500" t="s">
        <v>721</v>
      </c>
      <c r="N181" s="501" t="s">
        <v>721</v>
      </c>
      <c r="O181" s="529" t="s">
        <v>721</v>
      </c>
      <c r="P181" s="504"/>
      <c r="R181" s="504">
        <f t="shared" si="25"/>
        <v>0</v>
      </c>
      <c r="S181" s="504">
        <f t="shared" si="25"/>
        <v>0</v>
      </c>
      <c r="T181" s="504">
        <f t="shared" si="26"/>
        <v>0</v>
      </c>
      <c r="U181" s="504">
        <f t="shared" si="26"/>
        <v>2</v>
      </c>
      <c r="V181" s="504">
        <f t="shared" si="26"/>
        <v>0</v>
      </c>
      <c r="W181" s="504">
        <f t="shared" si="26"/>
        <v>0</v>
      </c>
      <c r="X181" s="504">
        <f t="shared" si="26"/>
        <v>0</v>
      </c>
    </row>
    <row r="182" spans="1:24" s="503" customFormat="1" ht="35.25" customHeight="1" outlineLevel="1" x14ac:dyDescent="0.5">
      <c r="A182" s="481"/>
      <c r="B182" s="481"/>
      <c r="C182" s="505" t="s">
        <v>710</v>
      </c>
      <c r="D182" s="506" t="str">
        <f>VLOOKUP(C174,overview_of_services!$B$2:$I$88,8,FALSE)</f>
        <v>&gt;50% of parking spaces has recharging point</v>
      </c>
      <c r="E182" s="499">
        <v>0</v>
      </c>
      <c r="F182" s="499">
        <v>0</v>
      </c>
      <c r="G182" s="499">
        <v>0</v>
      </c>
      <c r="H182" s="507" t="s">
        <v>707</v>
      </c>
      <c r="I182" s="499">
        <v>0</v>
      </c>
      <c r="J182" s="499">
        <v>0</v>
      </c>
      <c r="K182" s="499">
        <v>0</v>
      </c>
      <c r="L182" s="500" t="s">
        <v>721</v>
      </c>
      <c r="M182" s="500" t="s">
        <v>721</v>
      </c>
      <c r="N182" s="501" t="s">
        <v>721</v>
      </c>
      <c r="O182" s="529" t="s">
        <v>721</v>
      </c>
      <c r="P182" s="504"/>
      <c r="R182" s="504">
        <f t="shared" si="25"/>
        <v>0</v>
      </c>
      <c r="S182" s="504">
        <f t="shared" si="25"/>
        <v>0</v>
      </c>
      <c r="T182" s="504">
        <f t="shared" si="26"/>
        <v>0</v>
      </c>
      <c r="U182" s="504">
        <f t="shared" si="26"/>
        <v>3</v>
      </c>
      <c r="V182" s="504">
        <f t="shared" si="26"/>
        <v>0</v>
      </c>
      <c r="W182" s="504">
        <f t="shared" si="26"/>
        <v>0</v>
      </c>
      <c r="X182" s="504">
        <f t="shared" si="26"/>
        <v>0</v>
      </c>
    </row>
    <row r="183" spans="1:24" s="503" customFormat="1" ht="6" customHeight="1" outlineLevel="2" thickBot="1" x14ac:dyDescent="0.4">
      <c r="A183" s="481"/>
      <c r="B183" s="481"/>
      <c r="C183" s="504"/>
      <c r="D183" s="504"/>
      <c r="E183" s="508"/>
      <c r="F183" s="508"/>
      <c r="G183" s="508"/>
      <c r="H183" s="508"/>
      <c r="I183" s="508"/>
      <c r="J183" s="508"/>
      <c r="K183" s="508"/>
      <c r="L183" s="504"/>
      <c r="M183" s="504"/>
      <c r="N183" s="504"/>
      <c r="O183" s="504"/>
      <c r="P183" s="504"/>
    </row>
    <row r="184" spans="1:24" s="503" customFormat="1" ht="30.75" customHeight="1" outlineLevel="2" thickBot="1" x14ac:dyDescent="0.4">
      <c r="A184" s="481"/>
      <c r="B184" s="481"/>
      <c r="C184" s="509"/>
      <c r="D184" s="509" t="s">
        <v>712</v>
      </c>
      <c r="E184" s="511" t="s">
        <v>729</v>
      </c>
      <c r="F184" s="511" t="s">
        <v>729</v>
      </c>
      <c r="G184" s="511" t="s">
        <v>729</v>
      </c>
      <c r="H184" s="511" t="s">
        <v>729</v>
      </c>
      <c r="I184" s="511" t="s">
        <v>729</v>
      </c>
      <c r="J184" s="511" t="s">
        <v>729</v>
      </c>
      <c r="K184" s="511" t="s">
        <v>729</v>
      </c>
      <c r="L184" s="511" t="s">
        <v>729</v>
      </c>
      <c r="M184" s="511" t="s">
        <v>729</v>
      </c>
      <c r="N184" s="511" t="s">
        <v>729</v>
      </c>
      <c r="O184" s="513"/>
      <c r="P184" s="504"/>
    </row>
    <row r="185" spans="1:24" s="503" customFormat="1" ht="30.75" customHeight="1" outlineLevel="2" thickBot="1" x14ac:dyDescent="0.4">
      <c r="A185" s="481"/>
      <c r="B185" s="481"/>
      <c r="C185" s="509"/>
      <c r="D185" s="509" t="s">
        <v>714</v>
      </c>
      <c r="E185" s="510"/>
      <c r="F185" s="512"/>
      <c r="G185" s="511"/>
      <c r="H185" s="511"/>
      <c r="I185" s="511"/>
      <c r="J185" s="511"/>
      <c r="K185" s="511"/>
      <c r="L185" s="517"/>
      <c r="M185" s="518"/>
      <c r="N185" s="513"/>
      <c r="O185" s="513"/>
      <c r="P185" s="504"/>
    </row>
    <row r="186" spans="1:24" ht="15" thickBot="1" x14ac:dyDescent="0.4"/>
    <row r="187" spans="1:24" ht="17.25" customHeight="1" thickBot="1" x14ac:dyDescent="0.4">
      <c r="C187" s="483" t="s">
        <v>677</v>
      </c>
      <c r="D187" s="484" t="s">
        <v>678</v>
      </c>
      <c r="E187" s="481"/>
      <c r="F187" s="481"/>
      <c r="G187" s="482"/>
      <c r="H187" s="482"/>
      <c r="I187" s="482"/>
      <c r="J187" s="482"/>
      <c r="K187" s="482"/>
      <c r="L187" s="482"/>
      <c r="M187" s="482"/>
      <c r="N187" s="482"/>
      <c r="O187" s="481"/>
      <c r="P187" s="481"/>
    </row>
    <row r="188" spans="1:24" s="492" customFormat="1" ht="36.75" customHeight="1" thickBot="1" x14ac:dyDescent="0.7">
      <c r="A188" s="481"/>
      <c r="B188" s="486" t="s">
        <v>679</v>
      </c>
      <c r="C188" s="487" t="s">
        <v>453</v>
      </c>
      <c r="D188" s="514" t="str">
        <f>VLOOKUP(C188,overview_of_services!$B$2:$I$88,3,FALSE)</f>
        <v>EV Charging Grid balancing</v>
      </c>
      <c r="E188" s="489"/>
      <c r="F188" s="490" t="s">
        <v>680</v>
      </c>
      <c r="G188" s="578" t="str">
        <f>VLOOKUP(C188,overview_of_services!$B$2:$I$88,2,FALSE)</f>
        <v>EV Charging - Grid</v>
      </c>
      <c r="H188" s="578"/>
      <c r="I188" s="490"/>
      <c r="J188" s="491"/>
      <c r="K188" s="491"/>
      <c r="L188" s="491"/>
      <c r="M188" s="491"/>
      <c r="N188" s="491"/>
      <c r="R188" s="492" t="s">
        <v>681</v>
      </c>
      <c r="S188" s="492">
        <f>ROW()</f>
        <v>188</v>
      </c>
    </row>
    <row r="189" spans="1:24" ht="5.25" customHeight="1" x14ac:dyDescent="0.35">
      <c r="C189" s="493"/>
      <c r="D189" s="493"/>
      <c r="E189" s="493"/>
      <c r="F189" s="493"/>
      <c r="G189" s="493"/>
      <c r="H189" s="493"/>
      <c r="I189" s="493"/>
      <c r="J189" s="493"/>
      <c r="K189" s="493"/>
      <c r="L189" s="493"/>
      <c r="M189" s="493"/>
      <c r="N189" s="493"/>
      <c r="O189" s="493"/>
      <c r="P189" s="481"/>
    </row>
    <row r="190" spans="1:24" ht="20.25" customHeight="1" outlineLevel="1" x14ac:dyDescent="0.35">
      <c r="C190" s="575" t="s">
        <v>682</v>
      </c>
      <c r="D190" s="575"/>
      <c r="E190" s="577" t="s">
        <v>683</v>
      </c>
      <c r="F190" s="577"/>
      <c r="G190" s="577"/>
      <c r="H190" s="577"/>
      <c r="I190" s="577"/>
      <c r="J190" s="577"/>
      <c r="K190" s="577"/>
      <c r="L190" s="573" t="s">
        <v>684</v>
      </c>
      <c r="M190" s="574"/>
      <c r="N190" s="569" t="s">
        <v>685</v>
      </c>
      <c r="O190" s="571" t="s">
        <v>686</v>
      </c>
      <c r="P190" s="481"/>
    </row>
    <row r="191" spans="1:24" ht="36.75" customHeight="1" outlineLevel="1" thickBot="1" x14ac:dyDescent="0.4">
      <c r="C191" s="576"/>
      <c r="D191" s="576"/>
      <c r="E191" s="495" t="s">
        <v>687</v>
      </c>
      <c r="F191" s="495" t="s">
        <v>688</v>
      </c>
      <c r="G191" s="495" t="s">
        <v>689</v>
      </c>
      <c r="H191" s="495" t="s">
        <v>690</v>
      </c>
      <c r="I191" s="495" t="s">
        <v>616</v>
      </c>
      <c r="J191" s="495" t="s">
        <v>691</v>
      </c>
      <c r="K191" s="495" t="s">
        <v>692</v>
      </c>
      <c r="L191" s="496" t="s">
        <v>693</v>
      </c>
      <c r="M191" s="496" t="s">
        <v>694</v>
      </c>
      <c r="N191" s="570"/>
      <c r="O191" s="572"/>
      <c r="P191" s="481"/>
    </row>
    <row r="192" spans="1:24" s="503" customFormat="1" ht="35.25" customHeight="1" outlineLevel="1" thickTop="1" x14ac:dyDescent="0.5">
      <c r="A192" s="481"/>
      <c r="B192" s="481"/>
      <c r="C192" s="497" t="s">
        <v>695</v>
      </c>
      <c r="D192" s="498" t="str">
        <f>VLOOKUP(C188,overview_of_services!$B$2:$I$88,4,FALSE)</f>
        <v>Not present</v>
      </c>
      <c r="E192" s="499">
        <v>0</v>
      </c>
      <c r="F192" s="507" t="s">
        <v>797</v>
      </c>
      <c r="G192" s="499">
        <v>0</v>
      </c>
      <c r="H192" s="499">
        <v>0</v>
      </c>
      <c r="I192" s="499">
        <v>0</v>
      </c>
      <c r="J192" s="499">
        <v>0</v>
      </c>
      <c r="K192" s="499">
        <v>0</v>
      </c>
      <c r="L192" s="500" t="s">
        <v>696</v>
      </c>
      <c r="M192" s="500" t="s">
        <v>696</v>
      </c>
      <c r="N192" s="501">
        <v>0</v>
      </c>
      <c r="O192" s="529" t="s">
        <v>721</v>
      </c>
      <c r="P192" s="504"/>
      <c r="R192" s="504">
        <f t="shared" ref="R192:S196" si="27">IF(E192=0,0,(IF(E192="+",1,(IF(E192="++",2,(IF(E192="+++",3,(IF(E192="++++",4,(IF(E192="-",-1,(IF(E192="--",-2,(IF(E192="---",-3,(IF(E192="----",-4,"NA")))))))))))))))))</f>
        <v>0</v>
      </c>
      <c r="S192" s="504">
        <f t="shared" si="27"/>
        <v>-2</v>
      </c>
      <c r="T192" s="504">
        <f t="shared" ref="T192:X196" si="28">IF(G192=0,0,(IF(G192="+",1,(IF(G192="++",2,(IF(G192="+++",3,(IF(G192="++++",4,(IF(G192="-",-1,(IF(G192="--",-2,(IF(G192="---",-3,(IF(G192="----",-4,"NA")))))))))))))))))</f>
        <v>0</v>
      </c>
      <c r="U192" s="504">
        <f t="shared" si="28"/>
        <v>0</v>
      </c>
      <c r="V192" s="504">
        <f t="shared" si="28"/>
        <v>0</v>
      </c>
      <c r="W192" s="504">
        <f t="shared" si="28"/>
        <v>0</v>
      </c>
      <c r="X192" s="504">
        <f t="shared" si="28"/>
        <v>0</v>
      </c>
    </row>
    <row r="193" spans="1:24" s="503" customFormat="1" ht="35.25" customHeight="1" outlineLevel="1" x14ac:dyDescent="0.5">
      <c r="A193" s="481"/>
      <c r="B193" s="481"/>
      <c r="C193" s="505" t="s">
        <v>699</v>
      </c>
      <c r="D193" s="506" t="str">
        <f>VLOOKUP(C188,overview_of_services!$B$2:$I$88,5,FALSE)</f>
        <v>1 way (controlled charging)</v>
      </c>
      <c r="E193" s="499">
        <v>0</v>
      </c>
      <c r="F193" s="499" t="s">
        <v>700</v>
      </c>
      <c r="G193" s="499">
        <v>0</v>
      </c>
      <c r="H193" s="499" t="s">
        <v>700</v>
      </c>
      <c r="I193" s="499">
        <v>0</v>
      </c>
      <c r="J193" s="499">
        <v>0</v>
      </c>
      <c r="K193" s="499">
        <v>0</v>
      </c>
      <c r="L193" s="500" t="s">
        <v>721</v>
      </c>
      <c r="M193" s="500" t="s">
        <v>721</v>
      </c>
      <c r="N193" s="501" t="s">
        <v>721</v>
      </c>
      <c r="O193" s="529" t="s">
        <v>721</v>
      </c>
      <c r="P193" s="504"/>
      <c r="R193" s="504">
        <f t="shared" si="27"/>
        <v>0</v>
      </c>
      <c r="S193" s="504">
        <f t="shared" si="27"/>
        <v>1</v>
      </c>
      <c r="T193" s="504">
        <f t="shared" si="28"/>
        <v>0</v>
      </c>
      <c r="U193" s="504">
        <f t="shared" si="28"/>
        <v>1</v>
      </c>
      <c r="V193" s="504">
        <f t="shared" si="28"/>
        <v>0</v>
      </c>
      <c r="W193" s="504">
        <f t="shared" si="28"/>
        <v>0</v>
      </c>
      <c r="X193" s="504">
        <f t="shared" si="28"/>
        <v>0</v>
      </c>
    </row>
    <row r="194" spans="1:24" s="503" customFormat="1" ht="35.25" customHeight="1" outlineLevel="1" x14ac:dyDescent="0.5">
      <c r="A194" s="481"/>
      <c r="B194" s="481"/>
      <c r="C194" s="505" t="s">
        <v>703</v>
      </c>
      <c r="D194" s="506" t="str">
        <f>VLOOKUP(C188,overview_of_services!$B$2:$I$88,6,FALSE)</f>
        <v>2 way (also EV to grid)</v>
      </c>
      <c r="E194" s="499">
        <v>0</v>
      </c>
      <c r="F194" s="507" t="s">
        <v>707</v>
      </c>
      <c r="G194" s="499">
        <v>0</v>
      </c>
      <c r="H194" s="499" t="s">
        <v>700</v>
      </c>
      <c r="I194" s="499">
        <v>0</v>
      </c>
      <c r="J194" s="499">
        <v>0</v>
      </c>
      <c r="K194" s="499">
        <v>0</v>
      </c>
      <c r="L194" s="500" t="s">
        <v>721</v>
      </c>
      <c r="M194" s="500" t="s">
        <v>721</v>
      </c>
      <c r="N194" s="501" t="s">
        <v>721</v>
      </c>
      <c r="O194" s="529" t="s">
        <v>721</v>
      </c>
      <c r="P194" s="504"/>
      <c r="R194" s="504">
        <f t="shared" si="27"/>
        <v>0</v>
      </c>
      <c r="S194" s="504">
        <f t="shared" si="27"/>
        <v>3</v>
      </c>
      <c r="T194" s="504">
        <f t="shared" si="28"/>
        <v>0</v>
      </c>
      <c r="U194" s="504">
        <f t="shared" si="28"/>
        <v>1</v>
      </c>
      <c r="V194" s="504">
        <f t="shared" si="28"/>
        <v>0</v>
      </c>
      <c r="W194" s="504">
        <f t="shared" si="28"/>
        <v>0</v>
      </c>
      <c r="X194" s="504">
        <f t="shared" si="28"/>
        <v>0</v>
      </c>
    </row>
    <row r="195" spans="1:24" s="503" customFormat="1" ht="35.25" customHeight="1" outlineLevel="1" x14ac:dyDescent="0.5">
      <c r="A195" s="481"/>
      <c r="B195" s="481"/>
      <c r="C195" s="505" t="s">
        <v>706</v>
      </c>
      <c r="D195" s="522">
        <f>VLOOKUP(C188,overview_of_services!$B$2:$I$88,7,FALSE)</f>
        <v>0</v>
      </c>
      <c r="E195" s="499">
        <v>0</v>
      </c>
      <c r="F195" s="499">
        <v>0</v>
      </c>
      <c r="G195" s="499">
        <v>0</v>
      </c>
      <c r="H195" s="499">
        <v>0</v>
      </c>
      <c r="I195" s="499">
        <v>0</v>
      </c>
      <c r="J195" s="499">
        <v>0</v>
      </c>
      <c r="K195" s="499">
        <v>0</v>
      </c>
      <c r="L195" s="500" t="s">
        <v>721</v>
      </c>
      <c r="M195" s="500" t="s">
        <v>721</v>
      </c>
      <c r="N195" s="501" t="s">
        <v>721</v>
      </c>
      <c r="O195" s="529" t="s">
        <v>721</v>
      </c>
      <c r="P195" s="504"/>
      <c r="R195" s="504">
        <f t="shared" si="27"/>
        <v>0</v>
      </c>
      <c r="S195" s="504">
        <f t="shared" si="27"/>
        <v>0</v>
      </c>
      <c r="T195" s="504">
        <f t="shared" si="28"/>
        <v>0</v>
      </c>
      <c r="U195" s="504">
        <f t="shared" si="28"/>
        <v>0</v>
      </c>
      <c r="V195" s="504">
        <f t="shared" si="28"/>
        <v>0</v>
      </c>
      <c r="W195" s="504">
        <f t="shared" si="28"/>
        <v>0</v>
      </c>
      <c r="X195" s="504">
        <f t="shared" si="28"/>
        <v>0</v>
      </c>
    </row>
    <row r="196" spans="1:24" s="503" customFormat="1" ht="35.25" customHeight="1" outlineLevel="1" x14ac:dyDescent="0.5">
      <c r="A196" s="481"/>
      <c r="B196" s="481"/>
      <c r="C196" s="505" t="s">
        <v>710</v>
      </c>
      <c r="D196" s="506">
        <f>VLOOKUP(C188,overview_of_services!$B$2:$I$88,8,FALSE)</f>
        <v>0</v>
      </c>
      <c r="E196" s="507"/>
      <c r="F196" s="499"/>
      <c r="G196" s="507"/>
      <c r="H196" s="507"/>
      <c r="I196" s="499"/>
      <c r="J196" s="499"/>
      <c r="K196" s="499"/>
      <c r="L196" s="500" t="s">
        <v>721</v>
      </c>
      <c r="M196" s="500" t="s">
        <v>721</v>
      </c>
      <c r="N196" s="501" t="s">
        <v>721</v>
      </c>
      <c r="O196" s="529" t="s">
        <v>721</v>
      </c>
      <c r="P196" s="504"/>
      <c r="R196" s="504">
        <f t="shared" si="27"/>
        <v>0</v>
      </c>
      <c r="S196" s="504">
        <f t="shared" si="27"/>
        <v>0</v>
      </c>
      <c r="T196" s="504">
        <f t="shared" si="28"/>
        <v>0</v>
      </c>
      <c r="U196" s="504">
        <f t="shared" si="28"/>
        <v>0</v>
      </c>
      <c r="V196" s="504">
        <f t="shared" si="28"/>
        <v>0</v>
      </c>
      <c r="W196" s="504">
        <f t="shared" si="28"/>
        <v>0</v>
      </c>
      <c r="X196" s="504">
        <f t="shared" si="28"/>
        <v>0</v>
      </c>
    </row>
    <row r="197" spans="1:24" s="503" customFormat="1" ht="6" customHeight="1" outlineLevel="2" thickBot="1" x14ac:dyDescent="0.4">
      <c r="A197" s="481"/>
      <c r="B197" s="481"/>
      <c r="C197" s="504"/>
      <c r="D197" s="504"/>
      <c r="E197" s="508"/>
      <c r="F197" s="508"/>
      <c r="G197" s="508"/>
      <c r="H197" s="508"/>
      <c r="I197" s="508"/>
      <c r="J197" s="508"/>
      <c r="K197" s="508"/>
      <c r="L197" s="504"/>
      <c r="M197" s="504"/>
      <c r="N197" s="504"/>
      <c r="O197" s="504"/>
      <c r="P197" s="504"/>
    </row>
    <row r="198" spans="1:24" s="503" customFormat="1" ht="30.75" customHeight="1" outlineLevel="2" thickBot="1" x14ac:dyDescent="0.4">
      <c r="A198" s="481"/>
      <c r="B198" s="481"/>
      <c r="C198" s="509"/>
      <c r="D198" s="509" t="s">
        <v>712</v>
      </c>
      <c r="E198" s="511" t="s">
        <v>729</v>
      </c>
      <c r="F198" s="511" t="s">
        <v>729</v>
      </c>
      <c r="G198" s="511" t="s">
        <v>729</v>
      </c>
      <c r="H198" s="511" t="s">
        <v>729</v>
      </c>
      <c r="I198" s="511" t="s">
        <v>729</v>
      </c>
      <c r="J198" s="511" t="s">
        <v>729</v>
      </c>
      <c r="K198" s="511" t="s">
        <v>729</v>
      </c>
      <c r="L198" s="511" t="s">
        <v>729</v>
      </c>
      <c r="M198" s="511" t="s">
        <v>729</v>
      </c>
      <c r="N198" s="511" t="s">
        <v>729</v>
      </c>
      <c r="O198" s="513"/>
      <c r="P198" s="504"/>
    </row>
    <row r="199" spans="1:24" s="503" customFormat="1" ht="30.75" customHeight="1" outlineLevel="2" thickBot="1" x14ac:dyDescent="0.4">
      <c r="A199" s="481"/>
      <c r="B199" s="481"/>
      <c r="C199" s="509"/>
      <c r="D199" s="509" t="s">
        <v>714</v>
      </c>
      <c r="E199" s="510"/>
      <c r="F199" s="512"/>
      <c r="G199" s="511"/>
      <c r="H199" s="511"/>
      <c r="I199" s="511"/>
      <c r="J199" s="511"/>
      <c r="K199" s="511"/>
      <c r="L199" s="517"/>
      <c r="M199" s="518"/>
      <c r="N199" s="513"/>
      <c r="O199" s="513"/>
      <c r="P199" s="504"/>
    </row>
    <row r="200" spans="1:24" ht="15" thickBot="1" x14ac:dyDescent="0.4"/>
    <row r="201" spans="1:24" ht="17.25" customHeight="1" thickBot="1" x14ac:dyDescent="0.4">
      <c r="C201" s="483" t="s">
        <v>677</v>
      </c>
      <c r="D201" s="484" t="s">
        <v>678</v>
      </c>
      <c r="E201" s="481"/>
      <c r="F201" s="481"/>
      <c r="G201" s="482"/>
      <c r="H201" s="482"/>
      <c r="I201" s="482"/>
      <c r="J201" s="482"/>
      <c r="K201" s="482"/>
      <c r="L201" s="482"/>
      <c r="M201" s="482"/>
      <c r="N201" s="482"/>
      <c r="O201" s="481"/>
      <c r="P201" s="481"/>
    </row>
    <row r="202" spans="1:24" s="492" customFormat="1" ht="36.75" customHeight="1" thickBot="1" x14ac:dyDescent="0.7">
      <c r="A202" s="481"/>
      <c r="B202" s="486" t="s">
        <v>679</v>
      </c>
      <c r="C202" s="487" t="s">
        <v>459</v>
      </c>
      <c r="D202" s="514" t="str">
        <f>VLOOKUP(C202,overview_of_services!$B$2:$I$88,3,FALSE)</f>
        <v>EV charging information and connectivity</v>
      </c>
      <c r="E202" s="489"/>
      <c r="F202" s="490" t="s">
        <v>680</v>
      </c>
      <c r="G202" s="578" t="str">
        <f>VLOOKUP(C202,overview_of_services!$B$2:$I$88,2,FALSE)</f>
        <v>EV Charging - connectivity</v>
      </c>
      <c r="H202" s="578"/>
      <c r="I202" s="490"/>
      <c r="J202" s="491"/>
      <c r="K202" s="491"/>
      <c r="L202" s="491"/>
      <c r="M202" s="491"/>
      <c r="N202" s="491"/>
      <c r="R202" s="492" t="s">
        <v>681</v>
      </c>
      <c r="S202" s="492">
        <f>ROW()</f>
        <v>202</v>
      </c>
    </row>
    <row r="203" spans="1:24" ht="5.25" customHeight="1" x14ac:dyDescent="0.35">
      <c r="C203" s="493"/>
      <c r="D203" s="493"/>
      <c r="E203" s="493"/>
      <c r="F203" s="493"/>
      <c r="G203" s="493"/>
      <c r="H203" s="493"/>
      <c r="I203" s="493"/>
      <c r="J203" s="493"/>
      <c r="K203" s="493"/>
      <c r="L203" s="493"/>
      <c r="M203" s="493"/>
      <c r="N203" s="493"/>
      <c r="O203" s="493"/>
      <c r="P203" s="481"/>
    </row>
    <row r="204" spans="1:24" ht="20.25" customHeight="1" outlineLevel="1" x14ac:dyDescent="0.35">
      <c r="C204" s="575" t="s">
        <v>682</v>
      </c>
      <c r="D204" s="575"/>
      <c r="E204" s="577" t="s">
        <v>683</v>
      </c>
      <c r="F204" s="577"/>
      <c r="G204" s="577"/>
      <c r="H204" s="577"/>
      <c r="I204" s="577"/>
      <c r="J204" s="577"/>
      <c r="K204" s="577"/>
      <c r="L204" s="573" t="s">
        <v>684</v>
      </c>
      <c r="M204" s="574"/>
      <c r="N204" s="569" t="s">
        <v>685</v>
      </c>
      <c r="O204" s="571" t="s">
        <v>686</v>
      </c>
      <c r="P204" s="481"/>
    </row>
    <row r="205" spans="1:24" ht="36.75" customHeight="1" outlineLevel="1" thickBot="1" x14ac:dyDescent="0.4">
      <c r="C205" s="576"/>
      <c r="D205" s="576"/>
      <c r="E205" s="495" t="s">
        <v>687</v>
      </c>
      <c r="F205" s="495" t="s">
        <v>688</v>
      </c>
      <c r="G205" s="495" t="s">
        <v>689</v>
      </c>
      <c r="H205" s="495" t="s">
        <v>690</v>
      </c>
      <c r="I205" s="495" t="s">
        <v>616</v>
      </c>
      <c r="J205" s="495" t="s">
        <v>691</v>
      </c>
      <c r="K205" s="495" t="s">
        <v>692</v>
      </c>
      <c r="L205" s="496" t="s">
        <v>693</v>
      </c>
      <c r="M205" s="496" t="s">
        <v>694</v>
      </c>
      <c r="N205" s="570"/>
      <c r="O205" s="572"/>
      <c r="P205" s="481"/>
    </row>
    <row r="206" spans="1:24" s="503" customFormat="1" ht="35.25" customHeight="1" outlineLevel="1" thickTop="1" x14ac:dyDescent="0.5">
      <c r="A206" s="481"/>
      <c r="B206" s="481"/>
      <c r="C206" s="497" t="s">
        <v>695</v>
      </c>
      <c r="D206" s="498" t="str">
        <f>VLOOKUP(C202,overview_of_services!$B$2:$I$88,4,FALSE)</f>
        <v>No information available</v>
      </c>
      <c r="E206" s="499">
        <v>0</v>
      </c>
      <c r="F206" s="499">
        <v>0</v>
      </c>
      <c r="G206" s="499">
        <v>0</v>
      </c>
      <c r="H206" s="499">
        <v>0</v>
      </c>
      <c r="I206" s="499">
        <v>0</v>
      </c>
      <c r="J206" s="499">
        <v>0</v>
      </c>
      <c r="K206" s="499">
        <v>0</v>
      </c>
      <c r="L206" s="500" t="s">
        <v>696</v>
      </c>
      <c r="M206" s="500" t="s">
        <v>696</v>
      </c>
      <c r="N206" s="501">
        <v>0</v>
      </c>
      <c r="O206" s="529" t="s">
        <v>721</v>
      </c>
      <c r="P206" s="504"/>
      <c r="R206" s="504">
        <f>IF(E206=0,0,(IF(E206="+",1,(IF(E206="++",2,(IF(E206="+++",3,(IF(E206="++++",4,(IF(E206="-",-1,(IF(E206="--",-2,(IF(E206="---",-3,(IF(E206="----",-4,"NA")))))))))))))))))</f>
        <v>0</v>
      </c>
      <c r="S206" s="504">
        <f>IF(F206=0,0,(IF(F206="+",1,(IF(F206="++",2,(IF(F206="+++",3,(IF(F206="++++",4,(IF(F206="-",-1,(IF(F206="--",-2,(IF(F206="---",-3,(IF(F206="----",-4,"NA")))))))))))))))))</f>
        <v>0</v>
      </c>
      <c r="T206" s="504">
        <f t="shared" ref="T206:X210" si="29">IF(G206=0,0,(IF(G206="+",1,(IF(G206="++",2,(IF(G206="+++",3,(IF(G206="++++",4,(IF(G206="-",-1,(IF(G206="--",-2,(IF(G206="---",-3,(IF(G206="----",-4,"NA")))))))))))))))))</f>
        <v>0</v>
      </c>
      <c r="U206" s="504">
        <f t="shared" si="29"/>
        <v>0</v>
      </c>
      <c r="V206" s="504">
        <f t="shared" si="29"/>
        <v>0</v>
      </c>
      <c r="W206" s="504">
        <f t="shared" si="29"/>
        <v>0</v>
      </c>
      <c r="X206" s="504">
        <f t="shared" si="29"/>
        <v>0</v>
      </c>
    </row>
    <row r="207" spans="1:24" s="503" customFormat="1" ht="35.25" customHeight="1" outlineLevel="1" x14ac:dyDescent="0.5">
      <c r="A207" s="481"/>
      <c r="B207" s="481"/>
      <c r="C207" s="505" t="s">
        <v>699</v>
      </c>
      <c r="D207" s="506" t="str">
        <f>VLOOKUP(C202,overview_of_services!$B$2:$I$88,5,FALSE)</f>
        <v>Reporting information on EV charging status to occupant</v>
      </c>
      <c r="E207" s="499">
        <v>0</v>
      </c>
      <c r="F207" s="499">
        <v>0</v>
      </c>
      <c r="G207" s="499">
        <v>0</v>
      </c>
      <c r="H207" s="499" t="s">
        <v>700</v>
      </c>
      <c r="I207" s="499">
        <v>0</v>
      </c>
      <c r="J207" s="499">
        <v>0</v>
      </c>
      <c r="K207" s="507" t="s">
        <v>704</v>
      </c>
      <c r="L207" s="500" t="s">
        <v>721</v>
      </c>
      <c r="M207" s="500" t="s">
        <v>721</v>
      </c>
      <c r="N207" s="501" t="s">
        <v>721</v>
      </c>
      <c r="O207" s="529" t="s">
        <v>721</v>
      </c>
      <c r="P207" s="504"/>
      <c r="R207" s="504">
        <f t="shared" ref="R207:R210" si="30">IF(E207=0,0,(IF(E207="+",1,(IF(E207="++",2,(IF(E207="+++",3,(IF(E207="++++",4,(IF(E207="-",-1,(IF(E207="--",-2,(IF(E207="---",-3,(IF(E207="----",-4,"NA")))))))))))))))))</f>
        <v>0</v>
      </c>
      <c r="S207" s="504">
        <f>IF(F207=0,0,(IF(F207="+",1,(IF(F207="++",2,(IF(F207="+++",3,(IF(F207="++++",4,(IF(F207="-",-1,(IF(F207="--",-2,(IF(F207="---",-3,(IF(F207="----",-4,"NA")))))))))))))))))</f>
        <v>0</v>
      </c>
      <c r="T207" s="504">
        <f t="shared" si="29"/>
        <v>0</v>
      </c>
      <c r="U207" s="504">
        <f t="shared" si="29"/>
        <v>1</v>
      </c>
      <c r="V207" s="504">
        <f t="shared" si="29"/>
        <v>0</v>
      </c>
      <c r="W207" s="504">
        <f t="shared" si="29"/>
        <v>0</v>
      </c>
      <c r="X207" s="504">
        <f t="shared" si="29"/>
        <v>2</v>
      </c>
    </row>
    <row r="208" spans="1:24" s="503" customFormat="1" ht="35.25" customHeight="1" outlineLevel="1" x14ac:dyDescent="0.5">
      <c r="A208" s="481"/>
      <c r="B208" s="481"/>
      <c r="C208" s="505" t="s">
        <v>703</v>
      </c>
      <c r="D208" s="506" t="str">
        <f>VLOOKUP(C202,overview_of_services!$B$2:$I$88,6,FALSE)</f>
        <v>Communication with a back-office compliant to ISO 15118</v>
      </c>
      <c r="E208" s="499">
        <v>0</v>
      </c>
      <c r="F208" s="507" t="s">
        <v>700</v>
      </c>
      <c r="G208" s="499">
        <v>0</v>
      </c>
      <c r="H208" s="499" t="s">
        <v>700</v>
      </c>
      <c r="I208" s="499">
        <v>0</v>
      </c>
      <c r="J208" s="499">
        <v>0</v>
      </c>
      <c r="K208" s="507" t="s">
        <v>707</v>
      </c>
      <c r="L208" s="500" t="s">
        <v>721</v>
      </c>
      <c r="M208" s="500" t="s">
        <v>721</v>
      </c>
      <c r="N208" s="501" t="s">
        <v>721</v>
      </c>
      <c r="O208" s="529" t="s">
        <v>721</v>
      </c>
      <c r="P208" s="504"/>
      <c r="R208" s="504">
        <f t="shared" si="30"/>
        <v>0</v>
      </c>
      <c r="S208" s="504">
        <f>IF(F208=0,0,(IF(F208="+",1,(IF(F208="++",2,(IF(F208="+++",3,(IF(F208="++++",4,(IF(F208="-",-1,(IF(F208="--",-2,(IF(F208="---",-3,(IF(F208="----",-4,"NA")))))))))))))))))</f>
        <v>1</v>
      </c>
      <c r="T208" s="504">
        <f t="shared" si="29"/>
        <v>0</v>
      </c>
      <c r="U208" s="504">
        <f t="shared" si="29"/>
        <v>1</v>
      </c>
      <c r="V208" s="504">
        <f t="shared" si="29"/>
        <v>0</v>
      </c>
      <c r="W208" s="504">
        <f t="shared" si="29"/>
        <v>0</v>
      </c>
      <c r="X208" s="504">
        <f t="shared" si="29"/>
        <v>3</v>
      </c>
    </row>
    <row r="209" spans="1:24" s="503" customFormat="1" ht="35.25" customHeight="1" outlineLevel="1" x14ac:dyDescent="0.5">
      <c r="A209" s="481"/>
      <c r="B209" s="481"/>
      <c r="C209" s="505" t="s">
        <v>706</v>
      </c>
      <c r="D209" s="522">
        <f>VLOOKUP(C202,overview_of_services!$B$2:$I$88,7,FALSE)</f>
        <v>0</v>
      </c>
      <c r="E209" s="499">
        <v>0</v>
      </c>
      <c r="F209" s="499">
        <v>0</v>
      </c>
      <c r="G209" s="499">
        <v>0</v>
      </c>
      <c r="H209" s="499">
        <v>0</v>
      </c>
      <c r="I209" s="499">
        <v>0</v>
      </c>
      <c r="J209" s="499">
        <v>0</v>
      </c>
      <c r="K209" s="499">
        <v>0</v>
      </c>
      <c r="L209" s="500" t="s">
        <v>721</v>
      </c>
      <c r="M209" s="500" t="s">
        <v>721</v>
      </c>
      <c r="N209" s="501" t="s">
        <v>721</v>
      </c>
      <c r="O209" s="529" t="s">
        <v>721</v>
      </c>
      <c r="P209" s="504"/>
      <c r="R209" s="504">
        <f t="shared" si="30"/>
        <v>0</v>
      </c>
      <c r="S209" s="504">
        <f>IF(F209=0,0,(IF(F209="+",1,(IF(F209="++",2,(IF(F209="+++",3,(IF(F209="++++",4,(IF(F209="-",-1,(IF(F209="--",-2,(IF(F209="---",-3,(IF(F209="----",-4,"NA")))))))))))))))))</f>
        <v>0</v>
      </c>
      <c r="T209" s="504">
        <f t="shared" si="29"/>
        <v>0</v>
      </c>
      <c r="U209" s="504">
        <f t="shared" si="29"/>
        <v>0</v>
      </c>
      <c r="V209" s="504">
        <f t="shared" si="29"/>
        <v>0</v>
      </c>
      <c r="W209" s="504">
        <f t="shared" si="29"/>
        <v>0</v>
      </c>
      <c r="X209" s="504">
        <f t="shared" si="29"/>
        <v>0</v>
      </c>
    </row>
    <row r="210" spans="1:24" s="503" customFormat="1" ht="35.25" customHeight="1" outlineLevel="1" x14ac:dyDescent="0.5">
      <c r="A210" s="481"/>
      <c r="B210" s="481"/>
      <c r="C210" s="505" t="s">
        <v>710</v>
      </c>
      <c r="D210" s="506">
        <f>VLOOKUP(C202,overview_of_services!$B$2:$I$88,8,FALSE)</f>
        <v>0</v>
      </c>
      <c r="E210" s="507"/>
      <c r="F210" s="499"/>
      <c r="G210" s="507"/>
      <c r="H210" s="507"/>
      <c r="I210" s="499"/>
      <c r="J210" s="499"/>
      <c r="K210" s="499"/>
      <c r="L210" s="500" t="s">
        <v>721</v>
      </c>
      <c r="M210" s="500" t="s">
        <v>721</v>
      </c>
      <c r="N210" s="501" t="s">
        <v>721</v>
      </c>
      <c r="O210" s="529" t="s">
        <v>721</v>
      </c>
      <c r="P210" s="504"/>
      <c r="R210" s="504">
        <f t="shared" si="30"/>
        <v>0</v>
      </c>
      <c r="S210" s="504">
        <f>IF(F210=0,0,(IF(F210="+",1,(IF(F210="++",2,(IF(F210="+++",3,(IF(F210="++++",4,(IF(F210="-",-1,(IF(F210="--",-2,(IF(F210="---",-3,(IF(F210="----",-4,"NA")))))))))))))))))</f>
        <v>0</v>
      </c>
      <c r="T210" s="504">
        <f t="shared" si="29"/>
        <v>0</v>
      </c>
      <c r="U210" s="504">
        <f t="shared" si="29"/>
        <v>0</v>
      </c>
      <c r="V210" s="504">
        <f t="shared" si="29"/>
        <v>0</v>
      </c>
      <c r="W210" s="504">
        <f t="shared" si="29"/>
        <v>0</v>
      </c>
      <c r="X210" s="504">
        <f t="shared" si="29"/>
        <v>0</v>
      </c>
    </row>
    <row r="211" spans="1:24" s="503" customFormat="1" ht="6" customHeight="1" outlineLevel="2" thickBot="1" x14ac:dyDescent="0.4">
      <c r="A211" s="481"/>
      <c r="B211" s="481"/>
      <c r="C211" s="504"/>
      <c r="D211" s="504"/>
      <c r="E211" s="508"/>
      <c r="F211" s="508"/>
      <c r="G211" s="508"/>
      <c r="H211" s="508"/>
      <c r="I211" s="508"/>
      <c r="J211" s="508"/>
      <c r="K211" s="508"/>
      <c r="L211" s="504"/>
      <c r="M211" s="504"/>
      <c r="N211" s="504"/>
      <c r="O211" s="504"/>
      <c r="P211" s="504"/>
    </row>
    <row r="212" spans="1:24" s="503" customFormat="1" ht="30.75" customHeight="1" outlineLevel="2" thickBot="1" x14ac:dyDescent="0.4">
      <c r="A212" s="481"/>
      <c r="B212" s="481"/>
      <c r="C212" s="509"/>
      <c r="D212" s="509" t="s">
        <v>712</v>
      </c>
      <c r="E212" s="511" t="s">
        <v>729</v>
      </c>
      <c r="F212" s="511" t="s">
        <v>729</v>
      </c>
      <c r="G212" s="511" t="s">
        <v>729</v>
      </c>
      <c r="H212" s="511" t="s">
        <v>729</v>
      </c>
      <c r="I212" s="511" t="s">
        <v>729</v>
      </c>
      <c r="J212" s="511" t="s">
        <v>729</v>
      </c>
      <c r="K212" s="511" t="s">
        <v>729</v>
      </c>
      <c r="L212" s="511" t="s">
        <v>729</v>
      </c>
      <c r="M212" s="511" t="s">
        <v>729</v>
      </c>
      <c r="N212" s="511" t="s">
        <v>729</v>
      </c>
      <c r="O212" s="513"/>
      <c r="P212" s="504"/>
    </row>
    <row r="213" spans="1:24" s="503" customFormat="1" ht="30.75" customHeight="1" outlineLevel="2" thickBot="1" x14ac:dyDescent="0.4">
      <c r="A213" s="481"/>
      <c r="B213" s="481"/>
      <c r="C213" s="509"/>
      <c r="D213" s="509" t="s">
        <v>714</v>
      </c>
      <c r="E213" s="510"/>
      <c r="F213" s="512"/>
      <c r="G213" s="511"/>
      <c r="H213" s="511"/>
      <c r="I213" s="511"/>
      <c r="J213" s="511"/>
      <c r="K213" s="511"/>
      <c r="L213" s="517"/>
      <c r="M213" s="518"/>
      <c r="N213" s="513"/>
      <c r="O213" s="513"/>
      <c r="P213" s="504"/>
    </row>
  </sheetData>
  <sheetProtection algorithmName="SHA-512" hashValue="z6W8CmUskCuNywKVG/78nuaq7FHQbS9Z28ktQ6C350gC17QifChZuLZsdmxcJsYPWU5d1uXSFgKVnZkBNV4S7Q==" saltValue="zSyZQ1SamLFdgLrsnQKfrQ==" spinCount="100000" sheet="1" objects="1" scenarios="1"/>
  <mergeCells count="90">
    <mergeCell ref="N190:N191"/>
    <mergeCell ref="O190:O191"/>
    <mergeCell ref="G202:H202"/>
    <mergeCell ref="C204:D205"/>
    <mergeCell ref="E204:K204"/>
    <mergeCell ref="L204:M204"/>
    <mergeCell ref="N204:N205"/>
    <mergeCell ref="O204:O205"/>
    <mergeCell ref="G188:H188"/>
    <mergeCell ref="C190:D191"/>
    <mergeCell ref="E190:K190"/>
    <mergeCell ref="L190:M190"/>
    <mergeCell ref="C176:D177"/>
    <mergeCell ref="E176:K176"/>
    <mergeCell ref="L176:M176"/>
    <mergeCell ref="G4:H4"/>
    <mergeCell ref="N6:N7"/>
    <mergeCell ref="N176:N177"/>
    <mergeCell ref="O176:O177"/>
    <mergeCell ref="G174:H174"/>
    <mergeCell ref="G19:H19"/>
    <mergeCell ref="G33:H33"/>
    <mergeCell ref="G47:H47"/>
    <mergeCell ref="G62:H62"/>
    <mergeCell ref="O35:O36"/>
    <mergeCell ref="G146:H146"/>
    <mergeCell ref="O106:O107"/>
    <mergeCell ref="G104:H104"/>
    <mergeCell ref="O162:O163"/>
    <mergeCell ref="N148:N149"/>
    <mergeCell ref="O134:O135"/>
    <mergeCell ref="C21:D22"/>
    <mergeCell ref="E21:K21"/>
    <mergeCell ref="L21:M21"/>
    <mergeCell ref="O21:O22"/>
    <mergeCell ref="O6:O7"/>
    <mergeCell ref="N21:N22"/>
    <mergeCell ref="C6:D7"/>
    <mergeCell ref="E6:K6"/>
    <mergeCell ref="L6:M6"/>
    <mergeCell ref="C49:D50"/>
    <mergeCell ref="E49:K49"/>
    <mergeCell ref="L49:M49"/>
    <mergeCell ref="O49:O50"/>
    <mergeCell ref="C35:D36"/>
    <mergeCell ref="E35:K35"/>
    <mergeCell ref="L35:M35"/>
    <mergeCell ref="N35:N36"/>
    <mergeCell ref="N49:N50"/>
    <mergeCell ref="C64:D65"/>
    <mergeCell ref="E64:K64"/>
    <mergeCell ref="L64:M64"/>
    <mergeCell ref="O64:O65"/>
    <mergeCell ref="O78:O79"/>
    <mergeCell ref="N64:N65"/>
    <mergeCell ref="G76:H76"/>
    <mergeCell ref="C92:D93"/>
    <mergeCell ref="E92:K92"/>
    <mergeCell ref="L92:M92"/>
    <mergeCell ref="O92:O93"/>
    <mergeCell ref="C78:D79"/>
    <mergeCell ref="E78:K78"/>
    <mergeCell ref="L78:M78"/>
    <mergeCell ref="N78:N79"/>
    <mergeCell ref="G90:H90"/>
    <mergeCell ref="N92:N93"/>
    <mergeCell ref="C134:D135"/>
    <mergeCell ref="E134:K134"/>
    <mergeCell ref="L134:M134"/>
    <mergeCell ref="N134:N135"/>
    <mergeCell ref="G132:H132"/>
    <mergeCell ref="C120:D121"/>
    <mergeCell ref="E120:K120"/>
    <mergeCell ref="L120:M120"/>
    <mergeCell ref="O120:O121"/>
    <mergeCell ref="C106:D107"/>
    <mergeCell ref="E106:K106"/>
    <mergeCell ref="L106:M106"/>
    <mergeCell ref="N106:N107"/>
    <mergeCell ref="G118:H118"/>
    <mergeCell ref="N120:N121"/>
    <mergeCell ref="C148:D149"/>
    <mergeCell ref="E148:K148"/>
    <mergeCell ref="L148:M148"/>
    <mergeCell ref="O148:O149"/>
    <mergeCell ref="C162:D163"/>
    <mergeCell ref="E162:K162"/>
    <mergeCell ref="L162:M162"/>
    <mergeCell ref="N162:N163"/>
    <mergeCell ref="G160:H160"/>
  </mergeCells>
  <conditionalFormatting sqref="C8:C12 O10:O11 L9:O9 E8:O8 E12:O12 E9:F9 E66:K66 E69:K70 E136:K136 E139:K140 E164:K164 E166:K168 E207:G209 E192:K192 E196:K196 E193:G195 E210:K210 E206:K206 H9 G9:G11 I9:K11 E23:K27 E37:K41 E51:K55 E67:E68 I67:K68 E80:K84 E94:K98 E108:K112 E122:K126 E137:G138 I137:J138 E150:K154 G165 E178:K182">
    <cfRule type="expression" dxfId="396" priority="170">
      <formula>$D8=0</formula>
    </cfRule>
  </conditionalFormatting>
  <conditionalFormatting sqref="B4">
    <cfRule type="expression" dxfId="395" priority="189">
      <formula>E4="yes"</formula>
    </cfRule>
  </conditionalFormatting>
  <conditionalFormatting sqref="B62">
    <cfRule type="expression" dxfId="394" priority="177">
      <formula>E62="yes"</formula>
    </cfRule>
  </conditionalFormatting>
  <conditionalFormatting sqref="B19">
    <cfRule type="expression" dxfId="393" priority="185">
      <formula>E19="yes"</formula>
    </cfRule>
  </conditionalFormatting>
  <conditionalFormatting sqref="B33">
    <cfRule type="expression" dxfId="392" priority="183">
      <formula>E33="yes"</formula>
    </cfRule>
  </conditionalFormatting>
  <conditionalFormatting sqref="B47">
    <cfRule type="expression" dxfId="391" priority="181">
      <formula>E47="yes"</formula>
    </cfRule>
  </conditionalFormatting>
  <conditionalFormatting sqref="B76">
    <cfRule type="expression" dxfId="390" priority="175">
      <formula>E76="yes"</formula>
    </cfRule>
  </conditionalFormatting>
  <conditionalFormatting sqref="B90">
    <cfRule type="expression" dxfId="389" priority="173">
      <formula>E90="yes"</formula>
    </cfRule>
  </conditionalFormatting>
  <conditionalFormatting sqref="B104">
    <cfRule type="expression" dxfId="388" priority="171">
      <formula>E104="yes"</formula>
    </cfRule>
  </conditionalFormatting>
  <conditionalFormatting sqref="C12">
    <cfRule type="expression" dxfId="387" priority="169">
      <formula>$D12=0</formula>
    </cfRule>
  </conditionalFormatting>
  <conditionalFormatting sqref="C55">
    <cfRule type="expression" dxfId="386" priority="157">
      <formula>$D55=0</formula>
    </cfRule>
  </conditionalFormatting>
  <conditionalFormatting sqref="C23:C27">
    <cfRule type="expression" dxfId="385" priority="164">
      <formula>$D23=0</formula>
    </cfRule>
  </conditionalFormatting>
  <conditionalFormatting sqref="C27">
    <cfRule type="expression" dxfId="384" priority="163">
      <formula>$D27=0</formula>
    </cfRule>
  </conditionalFormatting>
  <conditionalFormatting sqref="C37:C41">
    <cfRule type="expression" dxfId="383" priority="161">
      <formula>$D37=0</formula>
    </cfRule>
  </conditionalFormatting>
  <conditionalFormatting sqref="C41">
    <cfRule type="expression" dxfId="382" priority="160">
      <formula>$D41=0</formula>
    </cfRule>
  </conditionalFormatting>
  <conditionalFormatting sqref="C51:C55">
    <cfRule type="expression" dxfId="381" priority="158">
      <formula>$D51=0</formula>
    </cfRule>
  </conditionalFormatting>
  <conditionalFormatting sqref="D27">
    <cfRule type="expression" dxfId="380" priority="101">
      <formula>$D27=0</formula>
    </cfRule>
  </conditionalFormatting>
  <conditionalFormatting sqref="D37:D41">
    <cfRule type="expression" dxfId="379" priority="100">
      <formula>$D37=0</formula>
    </cfRule>
  </conditionalFormatting>
  <conditionalFormatting sqref="C66:C70 F67:H68">
    <cfRule type="expression" dxfId="378" priority="152">
      <formula>$D66=0</formula>
    </cfRule>
  </conditionalFormatting>
  <conditionalFormatting sqref="C70">
    <cfRule type="expression" dxfId="377" priority="151">
      <formula>$D70=0</formula>
    </cfRule>
  </conditionalFormatting>
  <conditionalFormatting sqref="C80:C84">
    <cfRule type="expression" dxfId="376" priority="149">
      <formula>$D80=0</formula>
    </cfRule>
  </conditionalFormatting>
  <conditionalFormatting sqref="C84">
    <cfRule type="expression" dxfId="375" priority="148">
      <formula>$D84=0</formula>
    </cfRule>
  </conditionalFormatting>
  <conditionalFormatting sqref="C94:C98">
    <cfRule type="expression" dxfId="374" priority="146">
      <formula>$D94=0</formula>
    </cfRule>
  </conditionalFormatting>
  <conditionalFormatting sqref="C98">
    <cfRule type="expression" dxfId="373" priority="145">
      <formula>$D98=0</formula>
    </cfRule>
  </conditionalFormatting>
  <conditionalFormatting sqref="C108:C112">
    <cfRule type="expression" dxfId="372" priority="143">
      <formula>$D108=0</formula>
    </cfRule>
  </conditionalFormatting>
  <conditionalFormatting sqref="C112">
    <cfRule type="expression" dxfId="371" priority="142">
      <formula>$D112=0</formula>
    </cfRule>
  </conditionalFormatting>
  <conditionalFormatting sqref="L108:O112">
    <cfRule type="expression" dxfId="370" priority="132">
      <formula>$D108=0</formula>
    </cfRule>
  </conditionalFormatting>
  <conditionalFormatting sqref="L23:O27">
    <cfRule type="expression" dxfId="369" priority="139">
      <formula>$D23=0</formula>
    </cfRule>
  </conditionalFormatting>
  <conditionalFormatting sqref="L37:O41">
    <cfRule type="expression" dxfId="368" priority="138">
      <formula>$D37=0</formula>
    </cfRule>
  </conditionalFormatting>
  <conditionalFormatting sqref="L51:O55">
    <cfRule type="expression" dxfId="367" priority="137">
      <formula>$D51=0</formula>
    </cfRule>
  </conditionalFormatting>
  <conditionalFormatting sqref="D150:D154">
    <cfRule type="expression" dxfId="366" priority="82">
      <formula>$D150=0</formula>
    </cfRule>
  </conditionalFormatting>
  <conditionalFormatting sqref="L66:O70">
    <cfRule type="expression" dxfId="365" priority="135">
      <formula>$D66=0</formula>
    </cfRule>
  </conditionalFormatting>
  <conditionalFormatting sqref="L80:O84">
    <cfRule type="expression" dxfId="364" priority="134">
      <formula>$D80=0</formula>
    </cfRule>
  </conditionalFormatting>
  <conditionalFormatting sqref="L94:O98">
    <cfRule type="expression" dxfId="363" priority="133">
      <formula>$D94=0</formula>
    </cfRule>
  </conditionalFormatting>
  <conditionalFormatting sqref="B118">
    <cfRule type="expression" dxfId="362" priority="130">
      <formula>E118="yes"</formula>
    </cfRule>
  </conditionalFormatting>
  <conditionalFormatting sqref="C122:C126">
    <cfRule type="expression" dxfId="361" priority="129">
      <formula>$D122=0</formula>
    </cfRule>
  </conditionalFormatting>
  <conditionalFormatting sqref="C126">
    <cfRule type="expression" dxfId="360" priority="128">
      <formula>$D126=0</formula>
    </cfRule>
  </conditionalFormatting>
  <conditionalFormatting sqref="L122:O126">
    <cfRule type="expression" dxfId="359" priority="126">
      <formula>$D122=0</formula>
    </cfRule>
  </conditionalFormatting>
  <conditionalFormatting sqref="B132">
    <cfRule type="expression" dxfId="358" priority="124">
      <formula>E132="yes"</formula>
    </cfRule>
  </conditionalFormatting>
  <conditionalFormatting sqref="C136:C140 H137:H138">
    <cfRule type="expression" dxfId="357" priority="123">
      <formula>$D136=0</formula>
    </cfRule>
  </conditionalFormatting>
  <conditionalFormatting sqref="C140">
    <cfRule type="expression" dxfId="356" priority="122">
      <formula>$D140=0</formula>
    </cfRule>
  </conditionalFormatting>
  <conditionalFormatting sqref="L136:O140">
    <cfRule type="expression" dxfId="355" priority="120">
      <formula>$D136=0</formula>
    </cfRule>
  </conditionalFormatting>
  <conditionalFormatting sqref="B146">
    <cfRule type="expression" dxfId="354" priority="118">
      <formula>E146="yes"</formula>
    </cfRule>
  </conditionalFormatting>
  <conditionalFormatting sqref="C150:C154">
    <cfRule type="expression" dxfId="353" priority="117">
      <formula>$D150=0</formula>
    </cfRule>
  </conditionalFormatting>
  <conditionalFormatting sqref="C154">
    <cfRule type="expression" dxfId="352" priority="116">
      <formula>$D154=0</formula>
    </cfRule>
  </conditionalFormatting>
  <conditionalFormatting sqref="L150:O154">
    <cfRule type="expression" dxfId="351" priority="114">
      <formula>$D150=0</formula>
    </cfRule>
  </conditionalFormatting>
  <conditionalFormatting sqref="B160">
    <cfRule type="expression" dxfId="350" priority="112">
      <formula>E160="yes"</formula>
    </cfRule>
  </conditionalFormatting>
  <conditionalFormatting sqref="C164:C168 E165:F165 H165:J165">
    <cfRule type="expression" dxfId="349" priority="111">
      <formula>$D164=0</formula>
    </cfRule>
  </conditionalFormatting>
  <conditionalFormatting sqref="C168">
    <cfRule type="expression" dxfId="348" priority="110">
      <formula>$D168=0</formula>
    </cfRule>
  </conditionalFormatting>
  <conditionalFormatting sqref="L164:O168">
    <cfRule type="expression" dxfId="347" priority="108">
      <formula>$D164=0</formula>
    </cfRule>
  </conditionalFormatting>
  <conditionalFormatting sqref="D8:D12">
    <cfRule type="expression" dxfId="346" priority="106">
      <formula>$D8=0</formula>
    </cfRule>
  </conditionalFormatting>
  <conditionalFormatting sqref="D12">
    <cfRule type="expression" dxfId="345" priority="105">
      <formula>$D12=0</formula>
    </cfRule>
  </conditionalFormatting>
  <conditionalFormatting sqref="D66:D70">
    <cfRule type="expression" dxfId="344" priority="94">
      <formula>$D66=0</formula>
    </cfRule>
  </conditionalFormatting>
  <conditionalFormatting sqref="D70">
    <cfRule type="expression" dxfId="343" priority="93">
      <formula>$D70=0</formula>
    </cfRule>
  </conditionalFormatting>
  <conditionalFormatting sqref="D23:D27">
    <cfRule type="expression" dxfId="342" priority="102">
      <formula>$D23=0</formula>
    </cfRule>
  </conditionalFormatting>
  <conditionalFormatting sqref="D41">
    <cfRule type="expression" dxfId="341" priority="99">
      <formula>$D41=0</formula>
    </cfRule>
  </conditionalFormatting>
  <conditionalFormatting sqref="D51:D55">
    <cfRule type="expression" dxfId="340" priority="98">
      <formula>$D51=0</formula>
    </cfRule>
  </conditionalFormatting>
  <conditionalFormatting sqref="D55">
    <cfRule type="expression" dxfId="339" priority="97">
      <formula>$D55=0</formula>
    </cfRule>
  </conditionalFormatting>
  <conditionalFormatting sqref="D80:D84">
    <cfRule type="expression" dxfId="338" priority="92">
      <formula>$D80=0</formula>
    </cfRule>
  </conditionalFormatting>
  <conditionalFormatting sqref="D84">
    <cfRule type="expression" dxfId="337" priority="91">
      <formula>$D84=0</formula>
    </cfRule>
  </conditionalFormatting>
  <conditionalFormatting sqref="D94:D98">
    <cfRule type="expression" dxfId="336" priority="90">
      <formula>$D94=0</formula>
    </cfRule>
  </conditionalFormatting>
  <conditionalFormatting sqref="D98">
    <cfRule type="expression" dxfId="335" priority="89">
      <formula>$D98=0</formula>
    </cfRule>
  </conditionalFormatting>
  <conditionalFormatting sqref="D108:D112">
    <cfRule type="expression" dxfId="334" priority="88">
      <formula>$D108=0</formula>
    </cfRule>
  </conditionalFormatting>
  <conditionalFormatting sqref="D112">
    <cfRule type="expression" dxfId="333" priority="87">
      <formula>$D112=0</formula>
    </cfRule>
  </conditionalFormatting>
  <conditionalFormatting sqref="D122:D126">
    <cfRule type="expression" dxfId="332" priority="86">
      <formula>$D122=0</formula>
    </cfRule>
  </conditionalFormatting>
  <conditionalFormatting sqref="D126">
    <cfRule type="expression" dxfId="331" priority="85">
      <formula>$D126=0</formula>
    </cfRule>
  </conditionalFormatting>
  <conditionalFormatting sqref="D136:D140">
    <cfRule type="expression" dxfId="330" priority="84">
      <formula>$D136=0</formula>
    </cfRule>
  </conditionalFormatting>
  <conditionalFormatting sqref="D140">
    <cfRule type="expression" dxfId="329" priority="83">
      <formula>$D140=0</formula>
    </cfRule>
  </conditionalFormatting>
  <conditionalFormatting sqref="D154">
    <cfRule type="expression" dxfId="328" priority="81">
      <formula>$D154=0</formula>
    </cfRule>
  </conditionalFormatting>
  <conditionalFormatting sqref="D164:D168">
    <cfRule type="expression" dxfId="327" priority="80">
      <formula>$D164=0</formula>
    </cfRule>
  </conditionalFormatting>
  <conditionalFormatting sqref="D168">
    <cfRule type="expression" dxfId="326" priority="79">
      <formula>$D168=0</formula>
    </cfRule>
  </conditionalFormatting>
  <conditionalFormatting sqref="E11">
    <cfRule type="expression" dxfId="325" priority="67">
      <formula>$D11=0</formula>
    </cfRule>
  </conditionalFormatting>
  <conditionalFormatting sqref="E10">
    <cfRule type="expression" dxfId="324" priority="66">
      <formula>$D10=0</formula>
    </cfRule>
  </conditionalFormatting>
  <conditionalFormatting sqref="L10:N11">
    <cfRule type="expression" dxfId="323" priority="65">
      <formula>$D10=0</formula>
    </cfRule>
  </conditionalFormatting>
  <conditionalFormatting sqref="F10">
    <cfRule type="expression" dxfId="322" priority="64">
      <formula>$D10=0</formula>
    </cfRule>
  </conditionalFormatting>
  <conditionalFormatting sqref="F11">
    <cfRule type="expression" dxfId="321" priority="63">
      <formula>$D11=0</formula>
    </cfRule>
  </conditionalFormatting>
  <conditionalFormatting sqref="H10:H11">
    <cfRule type="expression" dxfId="320" priority="72">
      <formula>$D10=0</formula>
    </cfRule>
  </conditionalFormatting>
  <conditionalFormatting sqref="D210">
    <cfRule type="expression" dxfId="319" priority="2">
      <formula>$D210=0</formula>
    </cfRule>
  </conditionalFormatting>
  <conditionalFormatting sqref="I207:K207">
    <cfRule type="expression" dxfId="318" priority="1">
      <formula>$D207=0</formula>
    </cfRule>
  </conditionalFormatting>
  <conditionalFormatting sqref="K137:K138">
    <cfRule type="expression" dxfId="317" priority="30">
      <formula>$D137=0</formula>
    </cfRule>
  </conditionalFormatting>
  <conditionalFormatting sqref="K165">
    <cfRule type="expression" dxfId="316" priority="25">
      <formula>$D165=0</formula>
    </cfRule>
  </conditionalFormatting>
  <conditionalFormatting sqref="B174">
    <cfRule type="expression" dxfId="315" priority="23">
      <formula>E174="yes"</formula>
    </cfRule>
  </conditionalFormatting>
  <conditionalFormatting sqref="C178:C182">
    <cfRule type="expression" dxfId="314" priority="22">
      <formula>$D178=0</formula>
    </cfRule>
  </conditionalFormatting>
  <conditionalFormatting sqref="C182">
    <cfRule type="expression" dxfId="313" priority="21">
      <formula>$D182=0</formula>
    </cfRule>
  </conditionalFormatting>
  <conditionalFormatting sqref="L178:O182">
    <cfRule type="expression" dxfId="312" priority="20">
      <formula>$D178=0</formula>
    </cfRule>
  </conditionalFormatting>
  <conditionalFormatting sqref="D178:D182">
    <cfRule type="expression" dxfId="311" priority="19">
      <formula>$D178=0</formula>
    </cfRule>
  </conditionalFormatting>
  <conditionalFormatting sqref="D182">
    <cfRule type="expression" dxfId="310" priority="18">
      <formula>$D182=0</formula>
    </cfRule>
  </conditionalFormatting>
  <conditionalFormatting sqref="B188">
    <cfRule type="expression" dxfId="309" priority="14">
      <formula>E188="yes"</formula>
    </cfRule>
  </conditionalFormatting>
  <conditionalFormatting sqref="C192:C196 I194:K195 H193:H195">
    <cfRule type="expression" dxfId="308" priority="13">
      <formula>$D192=0</formula>
    </cfRule>
  </conditionalFormatting>
  <conditionalFormatting sqref="C196">
    <cfRule type="expression" dxfId="307" priority="12">
      <formula>$D196=0</formula>
    </cfRule>
  </conditionalFormatting>
  <conditionalFormatting sqref="L192:O196">
    <cfRule type="expression" dxfId="306" priority="11">
      <formula>$D192=0</formula>
    </cfRule>
  </conditionalFormatting>
  <conditionalFormatting sqref="D192:D196">
    <cfRule type="expression" dxfId="305" priority="10">
      <formula>$D192=0</formula>
    </cfRule>
  </conditionalFormatting>
  <conditionalFormatting sqref="D196">
    <cfRule type="expression" dxfId="304" priority="9">
      <formula>$D196=0</formula>
    </cfRule>
  </conditionalFormatting>
  <conditionalFormatting sqref="I193:K193">
    <cfRule type="expression" dxfId="303" priority="8">
      <formula>$D193=0</formula>
    </cfRule>
  </conditionalFormatting>
  <conditionalFormatting sqref="B202">
    <cfRule type="expression" dxfId="302" priority="7">
      <formula>E202="yes"</formula>
    </cfRule>
  </conditionalFormatting>
  <conditionalFormatting sqref="C206:C210 I208:K209 H207:H209">
    <cfRule type="expression" dxfId="301" priority="6">
      <formula>$D206=0</formula>
    </cfRule>
  </conditionalFormatting>
  <conditionalFormatting sqref="C210">
    <cfRule type="expression" dxfId="300" priority="5">
      <formula>$D210=0</formula>
    </cfRule>
  </conditionalFormatting>
  <conditionalFormatting sqref="L206:O210">
    <cfRule type="expression" dxfId="299" priority="4">
      <formula>$D206=0</formula>
    </cfRule>
  </conditionalFormatting>
  <conditionalFormatting sqref="D206:D210">
    <cfRule type="expression" dxfId="298" priority="3">
      <formula>$D206=0</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393"/>
  <sheetViews>
    <sheetView zoomScale="40" zoomScaleNormal="40" workbookViewId="0">
      <pane ySplit="1" topLeftCell="A2" activePane="bottomLeft" state="frozen"/>
      <selection activeCell="O235" sqref="O235"/>
      <selection pane="bottomLeft" activeCell="H10" sqref="H10"/>
    </sheetView>
  </sheetViews>
  <sheetFormatPr defaultColWidth="9.453125" defaultRowHeight="14.5" outlineLevelRow="2" x14ac:dyDescent="0.35"/>
  <cols>
    <col min="1" max="1" width="3.453125" style="481" customWidth="1"/>
    <col min="2" max="2" width="5.453125" style="481" customWidth="1"/>
    <col min="3" max="3" width="14.54296875" style="485" customWidth="1"/>
    <col min="4" max="4" width="60.54296875" style="485" customWidth="1"/>
    <col min="5" max="6" width="20" style="485" customWidth="1"/>
    <col min="7" max="11" width="20" style="523" customWidth="1"/>
    <col min="12" max="13" width="28" style="523" customWidth="1"/>
    <col min="14" max="14" width="20" style="523" customWidth="1"/>
    <col min="15" max="15" width="33.453125" style="485" customWidth="1"/>
    <col min="16" max="16" width="53.54296875" style="485" customWidth="1"/>
    <col min="17" max="17" width="27" style="485" customWidth="1"/>
    <col min="18" max="16384" width="9.453125" style="485"/>
  </cols>
  <sheetData>
    <row r="1" spans="1:24" s="479" customFormat="1" ht="37.5" customHeight="1" thickBot="1" x14ac:dyDescent="0.55000000000000004">
      <c r="A1" s="477"/>
      <c r="B1" s="477"/>
      <c r="C1" s="477" t="s">
        <v>676</v>
      </c>
      <c r="D1" s="478" t="s">
        <v>465</v>
      </c>
      <c r="G1" s="480"/>
      <c r="H1" s="480"/>
      <c r="I1" s="480"/>
      <c r="J1" s="480"/>
      <c r="K1" s="480"/>
      <c r="L1" s="480"/>
      <c r="M1" s="480"/>
      <c r="N1" s="480"/>
      <c r="R1" s="479">
        <f>IF(SUM(R5:R390)&gt;0,1,0)</f>
        <v>1</v>
      </c>
      <c r="S1" s="479">
        <f t="shared" ref="S1:X1" si="0">IF(SUM(S5:S390)&gt;0,1,0)</f>
        <v>1</v>
      </c>
      <c r="T1" s="479">
        <f t="shared" si="0"/>
        <v>1</v>
      </c>
      <c r="U1" s="479">
        <f t="shared" si="0"/>
        <v>1</v>
      </c>
      <c r="V1" s="479">
        <f t="shared" si="0"/>
        <v>1</v>
      </c>
      <c r="W1" s="479">
        <f t="shared" si="0"/>
        <v>1</v>
      </c>
      <c r="X1" s="479">
        <f t="shared" si="0"/>
        <v>1</v>
      </c>
    </row>
    <row r="2" spans="1:24" s="481" customFormat="1" ht="26.25" customHeight="1" thickTop="1" thickBot="1" x14ac:dyDescent="0.4"/>
    <row r="3" spans="1:24" ht="17.25" customHeight="1" thickBot="1" x14ac:dyDescent="0.4">
      <c r="C3" s="483" t="s">
        <v>677</v>
      </c>
      <c r="D3" s="484" t="s">
        <v>678</v>
      </c>
      <c r="E3" s="481"/>
      <c r="F3" s="481"/>
      <c r="G3" s="482"/>
      <c r="H3" s="482"/>
      <c r="I3" s="482"/>
      <c r="J3" s="482"/>
      <c r="K3" s="482"/>
      <c r="L3" s="482"/>
      <c r="M3" s="482"/>
      <c r="N3" s="482"/>
      <c r="O3" s="481"/>
      <c r="P3" s="481"/>
    </row>
    <row r="4" spans="1:24" s="492" customFormat="1" ht="36.75" customHeight="1" thickBot="1" x14ac:dyDescent="0.7">
      <c r="A4" s="481"/>
      <c r="B4" s="486" t="s">
        <v>679</v>
      </c>
      <c r="C4" s="487" t="s">
        <v>466</v>
      </c>
      <c r="D4" s="514" t="str">
        <f>VLOOKUP(C4,overview_of_services!$B$2:$I$88,3,FALSE)</f>
        <v>Heating and cooling set point management</v>
      </c>
      <c r="E4" s="489"/>
      <c r="F4" s="490" t="s">
        <v>680</v>
      </c>
      <c r="G4" s="578" t="str">
        <f>VLOOKUP(C4,overview_of_services!$B$2:$I$88,2,FALSE)</f>
        <v>HVAC interaction control</v>
      </c>
      <c r="H4" s="578"/>
      <c r="I4" s="490"/>
      <c r="J4" s="491"/>
      <c r="K4" s="491"/>
      <c r="L4" s="491"/>
      <c r="M4" s="491"/>
      <c r="N4" s="491"/>
      <c r="R4" s="492" t="s">
        <v>681</v>
      </c>
      <c r="S4" s="492">
        <f>ROW()</f>
        <v>4</v>
      </c>
    </row>
    <row r="5" spans="1:24" ht="5.25" customHeight="1" x14ac:dyDescent="0.35">
      <c r="C5" s="493"/>
      <c r="D5" s="493"/>
      <c r="E5" s="493"/>
      <c r="F5" s="493"/>
      <c r="G5" s="493"/>
      <c r="H5" s="493"/>
      <c r="I5" s="493"/>
      <c r="J5" s="493"/>
      <c r="K5" s="493"/>
      <c r="L5" s="493"/>
      <c r="M5" s="493"/>
      <c r="N5" s="493"/>
      <c r="O5" s="493"/>
      <c r="P5" s="481"/>
    </row>
    <row r="6" spans="1:24" ht="20.25" customHeight="1" outlineLevel="1" x14ac:dyDescent="0.35">
      <c r="C6" s="575" t="s">
        <v>682</v>
      </c>
      <c r="D6" s="575"/>
      <c r="E6" s="577" t="s">
        <v>683</v>
      </c>
      <c r="F6" s="577"/>
      <c r="G6" s="577"/>
      <c r="H6" s="577"/>
      <c r="I6" s="577"/>
      <c r="J6" s="577"/>
      <c r="K6" s="577"/>
      <c r="L6" s="573" t="s">
        <v>684</v>
      </c>
      <c r="M6" s="574"/>
      <c r="N6" s="569" t="s">
        <v>685</v>
      </c>
      <c r="O6" s="571" t="s">
        <v>686</v>
      </c>
      <c r="P6" s="481"/>
    </row>
    <row r="7" spans="1:24" ht="36.75" customHeight="1" outlineLevel="1" thickBot="1" x14ac:dyDescent="0.4">
      <c r="C7" s="576"/>
      <c r="D7" s="576"/>
      <c r="E7" s="495" t="s">
        <v>687</v>
      </c>
      <c r="F7" s="495" t="s">
        <v>688</v>
      </c>
      <c r="G7" s="495" t="s">
        <v>689</v>
      </c>
      <c r="H7" s="495" t="s">
        <v>690</v>
      </c>
      <c r="I7" s="495" t="s">
        <v>616</v>
      </c>
      <c r="J7" s="495" t="s">
        <v>691</v>
      </c>
      <c r="K7" s="495" t="s">
        <v>692</v>
      </c>
      <c r="L7" s="496" t="s">
        <v>693</v>
      </c>
      <c r="M7" s="496" t="s">
        <v>694</v>
      </c>
      <c r="N7" s="570"/>
      <c r="O7" s="572"/>
      <c r="P7" s="481"/>
    </row>
    <row r="8" spans="1:24" s="503" customFormat="1" ht="35.25" customHeight="1" outlineLevel="1" thickTop="1" x14ac:dyDescent="0.5">
      <c r="A8" s="481"/>
      <c r="B8" s="481"/>
      <c r="C8" s="497" t="s">
        <v>695</v>
      </c>
      <c r="D8" s="498" t="str">
        <f>VLOOKUP(C4,overview_of_services!$B$2:$I$88,4,FALSE)</f>
        <v>Manual setting room by room individually</v>
      </c>
      <c r="E8" s="499">
        <v>0</v>
      </c>
      <c r="F8" s="499">
        <v>0</v>
      </c>
      <c r="G8" s="499">
        <v>0</v>
      </c>
      <c r="H8" s="499">
        <v>0</v>
      </c>
      <c r="I8" s="499">
        <v>0</v>
      </c>
      <c r="J8" s="499">
        <v>0</v>
      </c>
      <c r="K8" s="499">
        <v>0</v>
      </c>
      <c r="L8" s="530" t="s">
        <v>696</v>
      </c>
      <c r="M8" s="530" t="s">
        <v>696</v>
      </c>
      <c r="N8" s="531">
        <v>0</v>
      </c>
      <c r="O8" s="532" t="s">
        <v>721</v>
      </c>
      <c r="P8" s="504"/>
      <c r="R8" s="504">
        <f t="shared" ref="R8:X12" si="1">IF(E8=0,0,(IF(E8="+",1,(IF(E8="++",2,(IF(E8="+++",3,(IF(E8="++++",4,(IF(E8="-",-1,(IF(E8="--",-2,(IF(E8="---",-3,(IF(E8="----",-4,"NA")))))))))))))))))</f>
        <v>0</v>
      </c>
      <c r="S8" s="504">
        <f t="shared" si="1"/>
        <v>0</v>
      </c>
      <c r="T8" s="504">
        <f t="shared" si="1"/>
        <v>0</v>
      </c>
      <c r="U8" s="504">
        <f t="shared" si="1"/>
        <v>0</v>
      </c>
      <c r="V8" s="504">
        <f t="shared" si="1"/>
        <v>0</v>
      </c>
      <c r="W8" s="504">
        <f t="shared" si="1"/>
        <v>0</v>
      </c>
      <c r="X8" s="504">
        <f t="shared" si="1"/>
        <v>0</v>
      </c>
    </row>
    <row r="9" spans="1:24" s="503" customFormat="1" ht="35.25" customHeight="1" outlineLevel="1" x14ac:dyDescent="0.5">
      <c r="A9" s="481"/>
      <c r="B9" s="481"/>
      <c r="C9" s="505" t="s">
        <v>699</v>
      </c>
      <c r="D9" s="506" t="str">
        <f>VLOOKUP(C4,overview_of_services!$B$2:$I$88,5,FALSE)</f>
        <v>Adaptation from distributed / decentralized plant rooms only</v>
      </c>
      <c r="E9" s="499" t="s">
        <v>700</v>
      </c>
      <c r="F9" s="499" t="s">
        <v>700</v>
      </c>
      <c r="G9" s="499" t="s">
        <v>700</v>
      </c>
      <c r="H9" s="499" t="s">
        <v>700</v>
      </c>
      <c r="I9" s="499" t="s">
        <v>700</v>
      </c>
      <c r="J9" s="499">
        <v>0</v>
      </c>
      <c r="K9" s="499" t="s">
        <v>700</v>
      </c>
      <c r="L9" s="530" t="s">
        <v>700</v>
      </c>
      <c r="M9" s="530" t="s">
        <v>704</v>
      </c>
      <c r="N9" s="531" t="s">
        <v>791</v>
      </c>
      <c r="O9" s="532" t="s">
        <v>721</v>
      </c>
      <c r="P9" s="504"/>
      <c r="R9" s="504">
        <f t="shared" si="1"/>
        <v>1</v>
      </c>
      <c r="S9" s="504">
        <f t="shared" si="1"/>
        <v>1</v>
      </c>
      <c r="T9" s="504">
        <f t="shared" si="1"/>
        <v>1</v>
      </c>
      <c r="U9" s="504">
        <f t="shared" si="1"/>
        <v>1</v>
      </c>
      <c r="V9" s="504">
        <f t="shared" si="1"/>
        <v>1</v>
      </c>
      <c r="W9" s="504">
        <f t="shared" si="1"/>
        <v>0</v>
      </c>
      <c r="X9" s="504">
        <f t="shared" si="1"/>
        <v>1</v>
      </c>
    </row>
    <row r="10" spans="1:24" s="503" customFormat="1" ht="35.25" customHeight="1" outlineLevel="1" x14ac:dyDescent="0.5">
      <c r="A10" s="481"/>
      <c r="B10" s="481"/>
      <c r="C10" s="505" t="s">
        <v>703</v>
      </c>
      <c r="D10" s="506" t="str">
        <f>VLOOKUP(C4,overview_of_services!$B$2:$I$88,6,FALSE)</f>
        <v xml:space="preserve">Adaptation from a central room </v>
      </c>
      <c r="E10" s="499" t="s">
        <v>700</v>
      </c>
      <c r="F10" s="499" t="s">
        <v>700</v>
      </c>
      <c r="G10" s="499" t="s">
        <v>700</v>
      </c>
      <c r="H10" s="499" t="s">
        <v>700</v>
      </c>
      <c r="I10" s="499" t="s">
        <v>700</v>
      </c>
      <c r="J10" s="499">
        <v>0</v>
      </c>
      <c r="K10" s="499" t="s">
        <v>700</v>
      </c>
      <c r="L10" s="530" t="s">
        <v>700</v>
      </c>
      <c r="M10" s="530" t="s">
        <v>704</v>
      </c>
      <c r="N10" s="531" t="s">
        <v>791</v>
      </c>
      <c r="O10" s="532" t="s">
        <v>721</v>
      </c>
      <c r="P10" s="504"/>
      <c r="R10" s="504">
        <f t="shared" si="1"/>
        <v>1</v>
      </c>
      <c r="S10" s="504">
        <f t="shared" si="1"/>
        <v>1</v>
      </c>
      <c r="T10" s="504">
        <f t="shared" si="1"/>
        <v>1</v>
      </c>
      <c r="U10" s="504">
        <f t="shared" si="1"/>
        <v>1</v>
      </c>
      <c r="V10" s="504">
        <f t="shared" si="1"/>
        <v>1</v>
      </c>
      <c r="W10" s="504">
        <f t="shared" si="1"/>
        <v>0</v>
      </c>
      <c r="X10" s="504">
        <f t="shared" si="1"/>
        <v>1</v>
      </c>
    </row>
    <row r="11" spans="1:24" s="503" customFormat="1" ht="35.25" customHeight="1" outlineLevel="1" x14ac:dyDescent="0.5">
      <c r="A11" s="481"/>
      <c r="B11" s="481"/>
      <c r="C11" s="505" t="s">
        <v>706</v>
      </c>
      <c r="D11" s="506" t="str">
        <f>VLOOKUP(C4,overview_of_services!$B$2:$I$88,7,FALSE)</f>
        <v>Adaptation from a central room with frequent set back of user inputs</v>
      </c>
      <c r="E11" s="499" t="s">
        <v>704</v>
      </c>
      <c r="F11" s="499" t="s">
        <v>700</v>
      </c>
      <c r="G11" s="499" t="s">
        <v>700</v>
      </c>
      <c r="H11" s="499" t="s">
        <v>700</v>
      </c>
      <c r="I11" s="499" t="s">
        <v>700</v>
      </c>
      <c r="J11" s="499" t="s">
        <v>697</v>
      </c>
      <c r="K11" s="499" t="s">
        <v>700</v>
      </c>
      <c r="L11" s="530" t="s">
        <v>700</v>
      </c>
      <c r="M11" s="530" t="s">
        <v>704</v>
      </c>
      <c r="N11" s="531" t="s">
        <v>791</v>
      </c>
      <c r="O11" s="532" t="s">
        <v>721</v>
      </c>
      <c r="P11" s="504"/>
      <c r="R11" s="504">
        <f t="shared" si="1"/>
        <v>2</v>
      </c>
      <c r="S11" s="504">
        <f t="shared" si="1"/>
        <v>1</v>
      </c>
      <c r="T11" s="504">
        <f t="shared" si="1"/>
        <v>1</v>
      </c>
      <c r="U11" s="504">
        <f t="shared" si="1"/>
        <v>1</v>
      </c>
      <c r="V11" s="504">
        <f t="shared" si="1"/>
        <v>1</v>
      </c>
      <c r="W11" s="504">
        <f t="shared" si="1"/>
        <v>-1</v>
      </c>
      <c r="X11" s="504">
        <f t="shared" si="1"/>
        <v>1</v>
      </c>
    </row>
    <row r="12" spans="1:24" s="503" customFormat="1" ht="35.25" customHeight="1" outlineLevel="1" x14ac:dyDescent="0.5">
      <c r="A12" s="481"/>
      <c r="B12" s="481"/>
      <c r="C12" s="505" t="s">
        <v>710</v>
      </c>
      <c r="D12" s="506">
        <f>VLOOKUP(C4,overview_of_services!$B$2:$I$88,8,FALSE)</f>
        <v>0</v>
      </c>
      <c r="E12" s="499"/>
      <c r="F12" s="499"/>
      <c r="G12" s="499"/>
      <c r="H12" s="499"/>
      <c r="I12" s="499"/>
      <c r="J12" s="499"/>
      <c r="K12" s="499"/>
      <c r="L12" s="500" t="s">
        <v>721</v>
      </c>
      <c r="M12" s="500" t="s">
        <v>721</v>
      </c>
      <c r="N12" s="501" t="s">
        <v>721</v>
      </c>
      <c r="O12" s="529" t="s">
        <v>721</v>
      </c>
      <c r="P12" s="504"/>
      <c r="R12" s="504">
        <f t="shared" si="1"/>
        <v>0</v>
      </c>
      <c r="S12" s="504">
        <f t="shared" si="1"/>
        <v>0</v>
      </c>
      <c r="T12" s="504">
        <f t="shared" si="1"/>
        <v>0</v>
      </c>
      <c r="U12" s="504">
        <f t="shared" si="1"/>
        <v>0</v>
      </c>
      <c r="V12" s="504">
        <f t="shared" si="1"/>
        <v>0</v>
      </c>
      <c r="W12" s="504">
        <f t="shared" si="1"/>
        <v>0</v>
      </c>
      <c r="X12" s="504">
        <f t="shared" si="1"/>
        <v>0</v>
      </c>
    </row>
    <row r="13" spans="1:24" s="503" customFormat="1" ht="6" customHeight="1" outlineLevel="2" thickBot="1" x14ac:dyDescent="0.4">
      <c r="A13" s="481"/>
      <c r="B13" s="481"/>
      <c r="C13" s="504"/>
      <c r="D13" s="504"/>
      <c r="E13" s="508"/>
      <c r="F13" s="508"/>
      <c r="G13" s="508"/>
      <c r="H13" s="508"/>
      <c r="I13" s="508"/>
      <c r="J13" s="508"/>
      <c r="K13" s="508"/>
      <c r="L13" s="504"/>
      <c r="M13" s="504"/>
      <c r="N13" s="504"/>
      <c r="O13" s="504"/>
      <c r="P13" s="504"/>
    </row>
    <row r="14" spans="1:24" s="503" customFormat="1" ht="30.75" customHeight="1" outlineLevel="2" thickBot="1" x14ac:dyDescent="0.4">
      <c r="A14" s="481"/>
      <c r="B14" s="481"/>
      <c r="C14" s="509"/>
      <c r="D14" s="509" t="s">
        <v>712</v>
      </c>
      <c r="E14" s="511" t="s">
        <v>729</v>
      </c>
      <c r="F14" s="511" t="s">
        <v>729</v>
      </c>
      <c r="G14" s="511" t="s">
        <v>729</v>
      </c>
      <c r="H14" s="511" t="s">
        <v>729</v>
      </c>
      <c r="I14" s="511" t="s">
        <v>729</v>
      </c>
      <c r="J14" s="511" t="s">
        <v>729</v>
      </c>
      <c r="K14" s="511" t="s">
        <v>729</v>
      </c>
      <c r="L14" s="511" t="s">
        <v>729</v>
      </c>
      <c r="M14" s="511" t="s">
        <v>729</v>
      </c>
      <c r="N14" s="513" t="s">
        <v>806</v>
      </c>
      <c r="O14" s="513"/>
      <c r="P14" s="504"/>
    </row>
    <row r="15" spans="1:24" s="503" customFormat="1" ht="30.75" customHeight="1" outlineLevel="2" thickBot="1" x14ac:dyDescent="0.4">
      <c r="A15" s="481"/>
      <c r="B15" s="481"/>
      <c r="C15" s="509"/>
      <c r="D15" s="509" t="s">
        <v>714</v>
      </c>
      <c r="E15" s="510"/>
      <c r="F15" s="512"/>
      <c r="G15" s="511"/>
      <c r="H15" s="511"/>
      <c r="I15" s="511"/>
      <c r="J15" s="511"/>
      <c r="K15" s="511"/>
      <c r="L15" s="517"/>
      <c r="M15" s="518"/>
      <c r="N15" s="513"/>
      <c r="O15" s="513"/>
      <c r="P15" s="504"/>
    </row>
    <row r="16" spans="1:24" ht="20.25" customHeight="1" outlineLevel="1" thickBot="1" x14ac:dyDescent="0.4">
      <c r="C16" s="481"/>
      <c r="D16" s="481"/>
      <c r="E16" s="481"/>
      <c r="F16" s="481"/>
      <c r="G16" s="482"/>
      <c r="H16" s="482"/>
      <c r="I16" s="482"/>
      <c r="J16" s="482"/>
      <c r="K16" s="482"/>
      <c r="L16" s="482"/>
      <c r="M16" s="482"/>
      <c r="N16" s="482"/>
      <c r="O16" s="481"/>
      <c r="P16" s="481"/>
    </row>
    <row r="17" spans="1:24" ht="17.25" customHeight="1" thickBot="1" x14ac:dyDescent="0.4">
      <c r="C17" s="483" t="s">
        <v>677</v>
      </c>
      <c r="D17" s="484" t="s">
        <v>678</v>
      </c>
      <c r="E17" s="481"/>
      <c r="F17" s="481"/>
      <c r="G17" s="482"/>
      <c r="H17" s="482"/>
      <c r="I17" s="482"/>
      <c r="J17" s="482"/>
      <c r="K17" s="482"/>
      <c r="L17" s="482"/>
      <c r="M17" s="482"/>
      <c r="N17" s="482"/>
      <c r="O17" s="481"/>
      <c r="P17" s="481"/>
    </row>
    <row r="18" spans="1:24" s="492" customFormat="1" ht="36.75" customHeight="1" thickBot="1" x14ac:dyDescent="0.7">
      <c r="A18" s="481"/>
      <c r="B18" s="486" t="s">
        <v>679</v>
      </c>
      <c r="C18" s="487" t="s">
        <v>474</v>
      </c>
      <c r="D18" s="514" t="str">
        <f>VLOOKUP(C18,overview_of_services!$B$2:$I$88,3,FALSE)</f>
        <v>Control of thermal exchanges</v>
      </c>
      <c r="E18" s="489"/>
      <c r="F18" s="490" t="s">
        <v>680</v>
      </c>
      <c r="G18" s="578" t="str">
        <f>VLOOKUP(C18,overview_of_services!$B$2:$I$88,2,FALSE)</f>
        <v>HVAC interaction control</v>
      </c>
      <c r="H18" s="578"/>
      <c r="I18" s="490"/>
      <c r="J18" s="491"/>
      <c r="K18" s="491"/>
      <c r="L18" s="491"/>
      <c r="M18" s="491"/>
      <c r="N18" s="491"/>
      <c r="R18" s="492" t="s">
        <v>681</v>
      </c>
      <c r="S18" s="492">
        <f>ROW()</f>
        <v>18</v>
      </c>
    </row>
    <row r="19" spans="1:24" ht="5.25" customHeight="1" x14ac:dyDescent="0.35">
      <c r="C19" s="493"/>
      <c r="D19" s="493"/>
      <c r="E19" s="493"/>
      <c r="F19" s="493"/>
      <c r="G19" s="493"/>
      <c r="H19" s="493"/>
      <c r="I19" s="493"/>
      <c r="J19" s="493"/>
      <c r="K19" s="493"/>
      <c r="L19" s="493"/>
      <c r="M19" s="493"/>
      <c r="N19" s="493"/>
      <c r="O19" s="493"/>
      <c r="P19" s="481"/>
    </row>
    <row r="20" spans="1:24" ht="20.25" customHeight="1" outlineLevel="1" x14ac:dyDescent="0.35">
      <c r="C20" s="575" t="s">
        <v>682</v>
      </c>
      <c r="D20" s="575"/>
      <c r="E20" s="577" t="s">
        <v>683</v>
      </c>
      <c r="F20" s="577"/>
      <c r="G20" s="577"/>
      <c r="H20" s="577"/>
      <c r="I20" s="577"/>
      <c r="J20" s="577"/>
      <c r="K20" s="577"/>
      <c r="L20" s="573" t="s">
        <v>684</v>
      </c>
      <c r="M20" s="574"/>
      <c r="N20" s="569" t="s">
        <v>685</v>
      </c>
      <c r="O20" s="571" t="s">
        <v>686</v>
      </c>
      <c r="P20" s="481"/>
    </row>
    <row r="21" spans="1:24" ht="36.75" customHeight="1" outlineLevel="1" thickBot="1" x14ac:dyDescent="0.4">
      <c r="C21" s="576"/>
      <c r="D21" s="576"/>
      <c r="E21" s="495" t="s">
        <v>687</v>
      </c>
      <c r="F21" s="495" t="s">
        <v>688</v>
      </c>
      <c r="G21" s="495" t="s">
        <v>689</v>
      </c>
      <c r="H21" s="495" t="s">
        <v>690</v>
      </c>
      <c r="I21" s="495" t="s">
        <v>616</v>
      </c>
      <c r="J21" s="495" t="s">
        <v>691</v>
      </c>
      <c r="K21" s="495" t="s">
        <v>692</v>
      </c>
      <c r="L21" s="496" t="s">
        <v>693</v>
      </c>
      <c r="M21" s="496" t="s">
        <v>694</v>
      </c>
      <c r="N21" s="570"/>
      <c r="O21" s="572"/>
      <c r="P21" s="481"/>
    </row>
    <row r="22" spans="1:24" s="503" customFormat="1" ht="35.25" customHeight="1" outlineLevel="1" thickTop="1" x14ac:dyDescent="0.5">
      <c r="A22" s="481"/>
      <c r="B22" s="481"/>
      <c r="C22" s="497" t="s">
        <v>695</v>
      </c>
      <c r="D22" s="498" t="str">
        <f>VLOOKUP(C18,overview_of_services!$B$2:$I$88,4,FALSE)</f>
        <v>None</v>
      </c>
      <c r="E22" s="499">
        <v>0</v>
      </c>
      <c r="F22" s="499">
        <v>0</v>
      </c>
      <c r="G22" s="499">
        <v>0</v>
      </c>
      <c r="H22" s="499">
        <v>0</v>
      </c>
      <c r="I22" s="499">
        <v>0</v>
      </c>
      <c r="J22" s="499">
        <v>0</v>
      </c>
      <c r="K22" s="499">
        <v>0</v>
      </c>
      <c r="L22" s="530" t="s">
        <v>696</v>
      </c>
      <c r="M22" s="530" t="s">
        <v>696</v>
      </c>
      <c r="N22" s="531">
        <v>0</v>
      </c>
      <c r="O22" s="532" t="s">
        <v>721</v>
      </c>
      <c r="P22" s="504"/>
      <c r="R22" s="504">
        <f t="shared" ref="R22:X26" si="2">IF(E22=0,0,(IF(E22="+",1,(IF(E22="++",2,(IF(E22="+++",3,(IF(E22="++++",4,(IF(E22="-",-1,(IF(E22="--",-2,(IF(E22="---",-3,(IF(E22="----",-4,"NA")))))))))))))))))</f>
        <v>0</v>
      </c>
      <c r="S22" s="504">
        <f t="shared" si="2"/>
        <v>0</v>
      </c>
      <c r="T22" s="504">
        <f t="shared" si="2"/>
        <v>0</v>
      </c>
      <c r="U22" s="504">
        <f t="shared" si="2"/>
        <v>0</v>
      </c>
      <c r="V22" s="504">
        <f t="shared" si="2"/>
        <v>0</v>
      </c>
      <c r="W22" s="504">
        <f t="shared" si="2"/>
        <v>0</v>
      </c>
      <c r="X22" s="504">
        <f t="shared" si="2"/>
        <v>0</v>
      </c>
    </row>
    <row r="23" spans="1:24" s="503" customFormat="1" ht="35.25" customHeight="1" outlineLevel="1" x14ac:dyDescent="0.5">
      <c r="A23" s="481"/>
      <c r="B23" s="481"/>
      <c r="C23" s="505" t="s">
        <v>699</v>
      </c>
      <c r="D23" s="506" t="str">
        <f>VLOOKUP(C18,overview_of_services!$B$2:$I$88,5,FALSE)</f>
        <v>Management  of heat/cold exchange among zones within one building or among different buildings - present in parts of the building</v>
      </c>
      <c r="E23" s="499" t="s">
        <v>700</v>
      </c>
      <c r="F23" s="499">
        <v>0</v>
      </c>
      <c r="G23" s="499" t="s">
        <v>700</v>
      </c>
      <c r="H23" s="499">
        <v>0</v>
      </c>
      <c r="I23" s="499">
        <v>0</v>
      </c>
      <c r="J23" s="499">
        <v>0</v>
      </c>
      <c r="K23" s="499">
        <v>0</v>
      </c>
      <c r="L23" s="530">
        <v>0</v>
      </c>
      <c r="M23" s="530" t="s">
        <v>700</v>
      </c>
      <c r="N23" s="531" t="s">
        <v>791</v>
      </c>
      <c r="O23" s="532" t="s">
        <v>721</v>
      </c>
      <c r="P23" s="504"/>
      <c r="R23" s="504">
        <f t="shared" si="2"/>
        <v>1</v>
      </c>
      <c r="S23" s="504">
        <f t="shared" si="2"/>
        <v>0</v>
      </c>
      <c r="T23" s="504">
        <f t="shared" si="2"/>
        <v>1</v>
      </c>
      <c r="U23" s="504">
        <f t="shared" si="2"/>
        <v>0</v>
      </c>
      <c r="V23" s="504">
        <f t="shared" si="2"/>
        <v>0</v>
      </c>
      <c r="W23" s="504">
        <f t="shared" si="2"/>
        <v>0</v>
      </c>
      <c r="X23" s="504">
        <f t="shared" si="2"/>
        <v>0</v>
      </c>
    </row>
    <row r="24" spans="1:24" s="503" customFormat="1" ht="35.25" customHeight="1" outlineLevel="1" x14ac:dyDescent="0.5">
      <c r="A24" s="481"/>
      <c r="B24" s="481"/>
      <c r="C24" s="505" t="s">
        <v>703</v>
      </c>
      <c r="D24" s="506" t="str">
        <f>VLOOKUP(C18,overview_of_services!$B$2:$I$88,6,FALSE)</f>
        <v>All occupied area has management of heat/cold exchange among zones within one building or among different buildings</v>
      </c>
      <c r="E24" s="507" t="s">
        <v>704</v>
      </c>
      <c r="F24" s="499">
        <v>0</v>
      </c>
      <c r="G24" s="499" t="s">
        <v>700</v>
      </c>
      <c r="H24" s="499">
        <v>0</v>
      </c>
      <c r="I24" s="499">
        <v>0</v>
      </c>
      <c r="J24" s="499">
        <v>0</v>
      </c>
      <c r="K24" s="499">
        <v>0</v>
      </c>
      <c r="L24" s="500" t="s">
        <v>721</v>
      </c>
      <c r="M24" s="500" t="s">
        <v>721</v>
      </c>
      <c r="N24" s="501">
        <v>4</v>
      </c>
      <c r="O24" s="529" t="s">
        <v>721</v>
      </c>
      <c r="P24" s="504"/>
      <c r="R24" s="504">
        <f t="shared" si="2"/>
        <v>2</v>
      </c>
      <c r="S24" s="504">
        <f t="shared" si="2"/>
        <v>0</v>
      </c>
      <c r="T24" s="504">
        <f t="shared" si="2"/>
        <v>1</v>
      </c>
      <c r="U24" s="504">
        <f t="shared" si="2"/>
        <v>0</v>
      </c>
      <c r="V24" s="504">
        <f t="shared" si="2"/>
        <v>0</v>
      </c>
      <c r="W24" s="504">
        <f t="shared" si="2"/>
        <v>0</v>
      </c>
      <c r="X24" s="504">
        <f t="shared" si="2"/>
        <v>0</v>
      </c>
    </row>
    <row r="25" spans="1:24" s="503" customFormat="1" ht="35.25" customHeight="1" outlineLevel="1" x14ac:dyDescent="0.5">
      <c r="A25" s="481"/>
      <c r="B25" s="481"/>
      <c r="C25" s="505" t="s">
        <v>706</v>
      </c>
      <c r="D25" s="506">
        <f>VLOOKUP(C18,overview_of_services!$B$2:$I$88,7,FALSE)</f>
        <v>0</v>
      </c>
      <c r="E25" s="499"/>
      <c r="F25" s="499"/>
      <c r="G25" s="499"/>
      <c r="H25" s="499"/>
      <c r="I25" s="499"/>
      <c r="J25" s="499"/>
      <c r="K25" s="499"/>
      <c r="L25" s="500" t="s">
        <v>721</v>
      </c>
      <c r="M25" s="500" t="s">
        <v>721</v>
      </c>
      <c r="N25" s="501" t="s">
        <v>721</v>
      </c>
      <c r="O25" s="529" t="s">
        <v>721</v>
      </c>
      <c r="P25" s="504"/>
      <c r="R25" s="504">
        <f t="shared" si="2"/>
        <v>0</v>
      </c>
      <c r="S25" s="504">
        <f t="shared" si="2"/>
        <v>0</v>
      </c>
      <c r="T25" s="504">
        <f t="shared" si="2"/>
        <v>0</v>
      </c>
      <c r="U25" s="504">
        <f t="shared" si="2"/>
        <v>0</v>
      </c>
      <c r="V25" s="504">
        <f t="shared" si="2"/>
        <v>0</v>
      </c>
      <c r="W25" s="504">
        <f t="shared" si="2"/>
        <v>0</v>
      </c>
      <c r="X25" s="504">
        <f t="shared" si="2"/>
        <v>0</v>
      </c>
    </row>
    <row r="26" spans="1:24" s="503" customFormat="1" ht="35.25" customHeight="1" outlineLevel="1" x14ac:dyDescent="0.5">
      <c r="A26" s="481"/>
      <c r="B26" s="481"/>
      <c r="C26" s="505" t="s">
        <v>710</v>
      </c>
      <c r="D26" s="506">
        <f>VLOOKUP(C18,overview_of_services!$B$2:$I$88,8,FALSE)</f>
        <v>0</v>
      </c>
      <c r="E26" s="507"/>
      <c r="F26" s="499"/>
      <c r="G26" s="507"/>
      <c r="H26" s="507"/>
      <c r="I26" s="499"/>
      <c r="J26" s="499"/>
      <c r="K26" s="499"/>
      <c r="L26" s="500" t="s">
        <v>721</v>
      </c>
      <c r="M26" s="500" t="s">
        <v>721</v>
      </c>
      <c r="N26" s="501" t="s">
        <v>721</v>
      </c>
      <c r="O26" s="529" t="s">
        <v>721</v>
      </c>
      <c r="P26" s="504"/>
      <c r="R26" s="504">
        <f t="shared" si="2"/>
        <v>0</v>
      </c>
      <c r="S26" s="504">
        <f t="shared" si="2"/>
        <v>0</v>
      </c>
      <c r="T26" s="504">
        <f t="shared" si="2"/>
        <v>0</v>
      </c>
      <c r="U26" s="504">
        <f t="shared" si="2"/>
        <v>0</v>
      </c>
      <c r="V26" s="504">
        <f t="shared" si="2"/>
        <v>0</v>
      </c>
      <c r="W26" s="504">
        <f t="shared" si="2"/>
        <v>0</v>
      </c>
      <c r="X26" s="504">
        <f t="shared" si="2"/>
        <v>0</v>
      </c>
    </row>
    <row r="27" spans="1:24" s="503" customFormat="1" ht="6" customHeight="1" outlineLevel="2" thickBot="1" x14ac:dyDescent="0.4">
      <c r="A27" s="481"/>
      <c r="B27" s="481"/>
      <c r="C27" s="504"/>
      <c r="D27" s="504"/>
      <c r="E27" s="508"/>
      <c r="F27" s="508"/>
      <c r="G27" s="508"/>
      <c r="H27" s="508"/>
      <c r="I27" s="508"/>
      <c r="J27" s="508"/>
      <c r="K27" s="508"/>
      <c r="L27" s="504"/>
      <c r="M27" s="504"/>
      <c r="N27" s="504"/>
      <c r="O27" s="504"/>
      <c r="P27" s="504"/>
    </row>
    <row r="28" spans="1:24" s="503" customFormat="1" ht="30.75" customHeight="1" outlineLevel="2" thickBot="1" x14ac:dyDescent="0.4">
      <c r="A28" s="481"/>
      <c r="B28" s="481"/>
      <c r="C28" s="509"/>
      <c r="D28" s="509" t="s">
        <v>712</v>
      </c>
      <c r="E28" s="511" t="s">
        <v>729</v>
      </c>
      <c r="F28" s="511" t="s">
        <v>729</v>
      </c>
      <c r="G28" s="511" t="s">
        <v>729</v>
      </c>
      <c r="H28" s="511" t="s">
        <v>729</v>
      </c>
      <c r="I28" s="511" t="s">
        <v>729</v>
      </c>
      <c r="J28" s="511" t="s">
        <v>729</v>
      </c>
      <c r="K28" s="511" t="s">
        <v>729</v>
      </c>
      <c r="L28" s="511" t="s">
        <v>729</v>
      </c>
      <c r="M28" s="511" t="s">
        <v>729</v>
      </c>
      <c r="N28" s="511" t="s">
        <v>729</v>
      </c>
      <c r="O28" s="513"/>
      <c r="P28" s="504"/>
    </row>
    <row r="29" spans="1:24" s="503" customFormat="1" ht="30.75" customHeight="1" outlineLevel="2" thickBot="1" x14ac:dyDescent="0.4">
      <c r="A29" s="481"/>
      <c r="B29" s="481"/>
      <c r="C29" s="509"/>
      <c r="D29" s="509" t="s">
        <v>714</v>
      </c>
      <c r="E29" s="510"/>
      <c r="F29" s="512"/>
      <c r="G29" s="511"/>
      <c r="H29" s="511"/>
      <c r="I29" s="511"/>
      <c r="J29" s="511"/>
      <c r="K29" s="511"/>
      <c r="L29" s="517"/>
      <c r="M29" s="518"/>
      <c r="N29" s="513"/>
      <c r="O29" s="513"/>
      <c r="P29" s="504"/>
    </row>
    <row r="30" spans="1:24" ht="20.25" customHeight="1" outlineLevel="1" thickBot="1" x14ac:dyDescent="0.4">
      <c r="C30" s="481"/>
      <c r="D30" s="481"/>
      <c r="E30" s="481"/>
      <c r="F30" s="481"/>
      <c r="G30" s="482"/>
      <c r="H30" s="482"/>
      <c r="I30" s="482"/>
      <c r="J30" s="482"/>
      <c r="K30" s="482"/>
      <c r="L30" s="482"/>
      <c r="M30" s="482"/>
      <c r="N30" s="482"/>
      <c r="O30" s="481"/>
      <c r="P30" s="481"/>
    </row>
    <row r="31" spans="1:24" ht="17.25" customHeight="1" thickBot="1" x14ac:dyDescent="0.4">
      <c r="C31" s="483" t="s">
        <v>677</v>
      </c>
      <c r="D31" s="484" t="s">
        <v>678</v>
      </c>
      <c r="E31" s="481"/>
      <c r="F31" s="481"/>
      <c r="G31" s="482"/>
      <c r="H31" s="482"/>
      <c r="I31" s="482"/>
      <c r="J31" s="482"/>
      <c r="K31" s="482"/>
      <c r="L31" s="482"/>
      <c r="M31" s="482"/>
      <c r="N31" s="482"/>
      <c r="O31" s="481"/>
      <c r="P31" s="481"/>
    </row>
    <row r="32" spans="1:24" s="492" customFormat="1" ht="36.75" customHeight="1" thickBot="1" x14ac:dyDescent="0.7">
      <c r="A32" s="481"/>
      <c r="B32" s="486" t="s">
        <v>679</v>
      </c>
      <c r="C32" s="487" t="s">
        <v>480</v>
      </c>
      <c r="D32" s="514" t="str">
        <f>VLOOKUP(C32,overview_of_services!$B$2:$I$88,3,FALSE)</f>
        <v>Run time management of HVAC systems</v>
      </c>
      <c r="E32" s="489"/>
      <c r="F32" s="490" t="s">
        <v>680</v>
      </c>
      <c r="G32" s="578" t="str">
        <f>VLOOKUP(C32,overview_of_services!$B$2:$I$88,2,FALSE)</f>
        <v>HVAC interaction control</v>
      </c>
      <c r="H32" s="578"/>
      <c r="I32" s="490"/>
      <c r="J32" s="491"/>
      <c r="K32" s="491"/>
      <c r="L32" s="491"/>
      <c r="M32" s="491"/>
      <c r="N32" s="491"/>
      <c r="R32" s="492" t="s">
        <v>681</v>
      </c>
      <c r="S32" s="492">
        <f>ROW()</f>
        <v>32</v>
      </c>
    </row>
    <row r="33" spans="1:24" ht="5.25" customHeight="1" x14ac:dyDescent="0.35">
      <c r="C33" s="493"/>
      <c r="D33" s="493"/>
      <c r="E33" s="493"/>
      <c r="F33" s="493"/>
      <c r="G33" s="493"/>
      <c r="H33" s="493"/>
      <c r="I33" s="493"/>
      <c r="J33" s="493"/>
      <c r="K33" s="493"/>
      <c r="L33" s="493"/>
      <c r="M33" s="493"/>
      <c r="N33" s="493"/>
      <c r="O33" s="493"/>
      <c r="P33" s="481"/>
    </row>
    <row r="34" spans="1:24" ht="20.25" customHeight="1" outlineLevel="1" x14ac:dyDescent="0.35">
      <c r="C34" s="575" t="s">
        <v>682</v>
      </c>
      <c r="D34" s="575"/>
      <c r="E34" s="577" t="s">
        <v>683</v>
      </c>
      <c r="F34" s="577"/>
      <c r="G34" s="577"/>
      <c r="H34" s="577"/>
      <c r="I34" s="577"/>
      <c r="J34" s="577"/>
      <c r="K34" s="577"/>
      <c r="L34" s="573" t="s">
        <v>684</v>
      </c>
      <c r="M34" s="574"/>
      <c r="N34" s="569" t="s">
        <v>685</v>
      </c>
      <c r="O34" s="571" t="s">
        <v>686</v>
      </c>
      <c r="P34" s="481"/>
    </row>
    <row r="35" spans="1:24" ht="36.75" customHeight="1" outlineLevel="1" thickBot="1" x14ac:dyDescent="0.4">
      <c r="C35" s="576"/>
      <c r="D35" s="576"/>
      <c r="E35" s="495" t="s">
        <v>687</v>
      </c>
      <c r="F35" s="495" t="s">
        <v>688</v>
      </c>
      <c r="G35" s="495" t="s">
        <v>689</v>
      </c>
      <c r="H35" s="495" t="s">
        <v>690</v>
      </c>
      <c r="I35" s="495" t="s">
        <v>616</v>
      </c>
      <c r="J35" s="495" t="s">
        <v>691</v>
      </c>
      <c r="K35" s="495" t="s">
        <v>692</v>
      </c>
      <c r="L35" s="496" t="s">
        <v>693</v>
      </c>
      <c r="M35" s="496" t="s">
        <v>694</v>
      </c>
      <c r="N35" s="570"/>
      <c r="O35" s="572"/>
      <c r="P35" s="481"/>
    </row>
    <row r="36" spans="1:24" s="503" customFormat="1" ht="35.25" customHeight="1" outlineLevel="1" thickTop="1" x14ac:dyDescent="0.5">
      <c r="A36" s="481"/>
      <c r="B36" s="481"/>
      <c r="C36" s="497" t="s">
        <v>695</v>
      </c>
      <c r="D36" s="498" t="str">
        <f>VLOOKUP(C32,overview_of_services!$B$2:$I$88,4,FALSE)</f>
        <v>Manual setting (plant enabling)</v>
      </c>
      <c r="E36" s="499">
        <v>0</v>
      </c>
      <c r="F36" s="499">
        <v>0</v>
      </c>
      <c r="G36" s="499">
        <v>0</v>
      </c>
      <c r="H36" s="499">
        <v>0</v>
      </c>
      <c r="I36" s="499">
        <v>0</v>
      </c>
      <c r="J36" s="499">
        <v>0</v>
      </c>
      <c r="K36" s="499">
        <v>0</v>
      </c>
      <c r="L36" s="530" t="s">
        <v>696</v>
      </c>
      <c r="M36" s="530" t="s">
        <v>696</v>
      </c>
      <c r="N36" s="531">
        <v>0</v>
      </c>
      <c r="O36" s="532" t="s">
        <v>721</v>
      </c>
      <c r="P36" s="504"/>
      <c r="R36" s="504">
        <f t="shared" ref="R36:X40" si="3">IF(E36=0,0,(IF(E36="+",1,(IF(E36="++",2,(IF(E36="+++",3,(IF(E36="++++",4,(IF(E36="-",-1,(IF(E36="--",-2,(IF(E36="---",-3,(IF(E36="----",-4,"NA")))))))))))))))))</f>
        <v>0</v>
      </c>
      <c r="S36" s="504">
        <f t="shared" si="3"/>
        <v>0</v>
      </c>
      <c r="T36" s="504">
        <f t="shared" si="3"/>
        <v>0</v>
      </c>
      <c r="U36" s="504">
        <f t="shared" si="3"/>
        <v>0</v>
      </c>
      <c r="V36" s="504">
        <f t="shared" si="3"/>
        <v>0</v>
      </c>
      <c r="W36" s="504">
        <f t="shared" si="3"/>
        <v>0</v>
      </c>
      <c r="X36" s="504">
        <f t="shared" si="3"/>
        <v>0</v>
      </c>
    </row>
    <row r="37" spans="1:24" s="503" customFormat="1" ht="35.25" customHeight="1" outlineLevel="1" x14ac:dyDescent="0.5">
      <c r="A37" s="481"/>
      <c r="B37" s="481"/>
      <c r="C37" s="505" t="s">
        <v>699</v>
      </c>
      <c r="D37" s="506" t="str">
        <f>VLOOKUP(C32,overview_of_services!$B$2:$I$88,5,FALSE)</f>
        <v>Individual setting following a predefined time schedule including fixed preconditioning phases</v>
      </c>
      <c r="E37" s="499" t="s">
        <v>700</v>
      </c>
      <c r="F37" s="499" t="s">
        <v>700</v>
      </c>
      <c r="G37" s="499" t="s">
        <v>704</v>
      </c>
      <c r="H37" s="499" t="s">
        <v>704</v>
      </c>
      <c r="I37" s="499" t="s">
        <v>700</v>
      </c>
      <c r="J37" s="499">
        <v>0</v>
      </c>
      <c r="K37" s="499">
        <v>0</v>
      </c>
      <c r="L37" s="530" t="s">
        <v>700</v>
      </c>
      <c r="M37" s="530" t="s">
        <v>704</v>
      </c>
      <c r="N37" s="531" t="s">
        <v>796</v>
      </c>
      <c r="O37" s="532" t="s">
        <v>721</v>
      </c>
      <c r="P37" s="504"/>
      <c r="R37" s="504">
        <f t="shared" si="3"/>
        <v>1</v>
      </c>
      <c r="S37" s="504">
        <f t="shared" si="3"/>
        <v>1</v>
      </c>
      <c r="T37" s="504">
        <f t="shared" si="3"/>
        <v>2</v>
      </c>
      <c r="U37" s="504">
        <f t="shared" si="3"/>
        <v>2</v>
      </c>
      <c r="V37" s="504">
        <f t="shared" si="3"/>
        <v>1</v>
      </c>
      <c r="W37" s="504">
        <f t="shared" si="3"/>
        <v>0</v>
      </c>
      <c r="X37" s="504">
        <f t="shared" si="3"/>
        <v>0</v>
      </c>
    </row>
    <row r="38" spans="1:24" s="503" customFormat="1" ht="35.25" customHeight="1" outlineLevel="1" x14ac:dyDescent="0.5">
      <c r="A38" s="481"/>
      <c r="B38" s="481"/>
      <c r="C38" s="505" t="s">
        <v>703</v>
      </c>
      <c r="D38" s="506" t="str">
        <f>VLOOKUP(C32,overview_of_services!$B$2:$I$88,6,FALSE)</f>
        <v>Individual setting following a predefined time schedule; adaptation from a central room; variable preconditioning phases</v>
      </c>
      <c r="E38" s="499" t="s">
        <v>704</v>
      </c>
      <c r="F38" s="499" t="s">
        <v>700</v>
      </c>
      <c r="G38" s="499" t="s">
        <v>704</v>
      </c>
      <c r="H38" s="499" t="s">
        <v>704</v>
      </c>
      <c r="I38" s="499" t="s">
        <v>700</v>
      </c>
      <c r="J38" s="499">
        <v>0</v>
      </c>
      <c r="K38" s="499">
        <v>0</v>
      </c>
      <c r="L38" s="530" t="s">
        <v>700</v>
      </c>
      <c r="M38" s="530" t="s">
        <v>704</v>
      </c>
      <c r="N38" s="531" t="s">
        <v>796</v>
      </c>
      <c r="O38" s="532" t="s">
        <v>721</v>
      </c>
      <c r="P38" s="504"/>
      <c r="R38" s="504">
        <f t="shared" si="3"/>
        <v>2</v>
      </c>
      <c r="S38" s="504">
        <f t="shared" si="3"/>
        <v>1</v>
      </c>
      <c r="T38" s="504">
        <f t="shared" si="3"/>
        <v>2</v>
      </c>
      <c r="U38" s="504">
        <f t="shared" si="3"/>
        <v>2</v>
      </c>
      <c r="V38" s="504">
        <f t="shared" si="3"/>
        <v>1</v>
      </c>
      <c r="W38" s="504">
        <f t="shared" si="3"/>
        <v>0</v>
      </c>
      <c r="X38" s="504">
        <f t="shared" si="3"/>
        <v>0</v>
      </c>
    </row>
    <row r="39" spans="1:24" s="503" customFormat="1" ht="35.25" customHeight="1" outlineLevel="1" x14ac:dyDescent="0.5">
      <c r="A39" s="481"/>
      <c r="B39" s="481"/>
      <c r="C39" s="505" t="s">
        <v>706</v>
      </c>
      <c r="D39" s="506" t="str">
        <f>VLOOKUP(C32,overview_of_services!$B$2:$I$88,7,FALSE)</f>
        <v>Control of run time management by artificial intelligence</v>
      </c>
      <c r="E39" s="499" t="s">
        <v>707</v>
      </c>
      <c r="F39" s="499" t="s">
        <v>700</v>
      </c>
      <c r="G39" s="499" t="s">
        <v>704</v>
      </c>
      <c r="H39" s="499" t="s">
        <v>707</v>
      </c>
      <c r="I39" s="499" t="s">
        <v>700</v>
      </c>
      <c r="J39" s="499">
        <v>0</v>
      </c>
      <c r="K39" s="499" t="s">
        <v>700</v>
      </c>
      <c r="L39" s="500" t="s">
        <v>721</v>
      </c>
      <c r="M39" s="500" t="s">
        <v>721</v>
      </c>
      <c r="N39" s="501" t="s">
        <v>721</v>
      </c>
      <c r="O39" s="529" t="s">
        <v>721</v>
      </c>
      <c r="P39" s="504"/>
      <c r="R39" s="504">
        <f t="shared" si="3"/>
        <v>3</v>
      </c>
      <c r="S39" s="504">
        <f t="shared" si="3"/>
        <v>1</v>
      </c>
      <c r="T39" s="504">
        <f t="shared" si="3"/>
        <v>2</v>
      </c>
      <c r="U39" s="504">
        <f t="shared" si="3"/>
        <v>3</v>
      </c>
      <c r="V39" s="504">
        <f t="shared" si="3"/>
        <v>1</v>
      </c>
      <c r="W39" s="504">
        <f t="shared" si="3"/>
        <v>0</v>
      </c>
      <c r="X39" s="504">
        <f t="shared" si="3"/>
        <v>1</v>
      </c>
    </row>
    <row r="40" spans="1:24" s="503" customFormat="1" ht="35.25" customHeight="1" outlineLevel="1" thickBot="1" x14ac:dyDescent="0.55000000000000004">
      <c r="A40" s="481"/>
      <c r="B40" s="481"/>
      <c r="C40" s="505" t="s">
        <v>710</v>
      </c>
      <c r="D40" s="506">
        <f>VLOOKUP(C32,overview_of_services!$B$2:$I$88,8,FALSE)</f>
        <v>0</v>
      </c>
      <c r="E40" s="507"/>
      <c r="F40" s="499"/>
      <c r="G40" s="507"/>
      <c r="H40" s="507"/>
      <c r="I40" s="499"/>
      <c r="J40" s="499"/>
      <c r="K40" s="499"/>
      <c r="L40" s="500" t="s">
        <v>721</v>
      </c>
      <c r="M40" s="500" t="s">
        <v>721</v>
      </c>
      <c r="N40" s="501" t="s">
        <v>721</v>
      </c>
      <c r="O40" s="529" t="s">
        <v>721</v>
      </c>
      <c r="P40" s="504"/>
      <c r="R40" s="504">
        <f t="shared" si="3"/>
        <v>0</v>
      </c>
      <c r="S40" s="504">
        <f t="shared" si="3"/>
        <v>0</v>
      </c>
      <c r="T40" s="504">
        <f t="shared" si="3"/>
        <v>0</v>
      </c>
      <c r="U40" s="504">
        <f t="shared" si="3"/>
        <v>0</v>
      </c>
      <c r="V40" s="504">
        <f t="shared" si="3"/>
        <v>0</v>
      </c>
      <c r="W40" s="504">
        <f t="shared" si="3"/>
        <v>0</v>
      </c>
      <c r="X40" s="504">
        <f t="shared" si="3"/>
        <v>0</v>
      </c>
    </row>
    <row r="41" spans="1:24" s="503" customFormat="1" ht="6" customHeight="1" outlineLevel="2" thickBot="1" x14ac:dyDescent="0.4">
      <c r="A41" s="481"/>
      <c r="B41" s="481"/>
      <c r="C41" s="504"/>
      <c r="D41" s="504"/>
      <c r="E41" s="508"/>
      <c r="F41" s="508"/>
      <c r="G41" s="508"/>
      <c r="H41" s="508"/>
      <c r="I41" s="508"/>
      <c r="J41" s="508"/>
      <c r="K41" s="508"/>
      <c r="L41" s="504"/>
      <c r="M41" s="504"/>
      <c r="N41" s="511" t="s">
        <v>729</v>
      </c>
      <c r="O41" s="504"/>
      <c r="P41" s="504"/>
    </row>
    <row r="42" spans="1:24" s="503" customFormat="1" ht="30.75" customHeight="1" outlineLevel="2" thickBot="1" x14ac:dyDescent="0.4">
      <c r="A42" s="481"/>
      <c r="B42" s="481"/>
      <c r="C42" s="509"/>
      <c r="D42" s="509" t="s">
        <v>712</v>
      </c>
      <c r="E42" s="511" t="s">
        <v>729</v>
      </c>
      <c r="F42" s="511" t="s">
        <v>729</v>
      </c>
      <c r="G42" s="511" t="s">
        <v>729</v>
      </c>
      <c r="H42" s="511" t="s">
        <v>729</v>
      </c>
      <c r="I42" s="511" t="s">
        <v>729</v>
      </c>
      <c r="J42" s="511" t="s">
        <v>729</v>
      </c>
      <c r="K42" s="511" t="s">
        <v>729</v>
      </c>
      <c r="L42" s="511" t="s">
        <v>729</v>
      </c>
      <c r="M42" s="511" t="s">
        <v>729</v>
      </c>
      <c r="N42" s="511" t="s">
        <v>729</v>
      </c>
      <c r="O42" s="513"/>
      <c r="P42" s="504"/>
    </row>
    <row r="43" spans="1:24" s="503" customFormat="1" ht="30.75" customHeight="1" outlineLevel="2" thickBot="1" x14ac:dyDescent="0.4">
      <c r="A43" s="481"/>
      <c r="B43" s="481"/>
      <c r="C43" s="509"/>
      <c r="D43" s="509" t="s">
        <v>714</v>
      </c>
      <c r="E43" s="510"/>
      <c r="F43" s="512"/>
      <c r="G43" s="511"/>
      <c r="H43" s="511"/>
      <c r="I43" s="511"/>
      <c r="J43" s="511"/>
      <c r="K43" s="511"/>
      <c r="L43" s="517"/>
      <c r="M43" s="518"/>
      <c r="N43" s="513"/>
      <c r="O43" s="513"/>
      <c r="P43" s="504"/>
    </row>
    <row r="44" spans="1:24" ht="20.25" customHeight="1" outlineLevel="1" thickBot="1" x14ac:dyDescent="0.4">
      <c r="C44" s="481"/>
      <c r="D44" s="481"/>
      <c r="E44" s="481"/>
      <c r="F44" s="481"/>
      <c r="G44" s="482"/>
      <c r="H44" s="482"/>
      <c r="I44" s="482"/>
      <c r="J44" s="482"/>
      <c r="K44" s="482"/>
      <c r="L44" s="482"/>
      <c r="M44" s="482"/>
      <c r="N44" s="482"/>
      <c r="O44" s="481"/>
      <c r="P44" s="481"/>
    </row>
    <row r="45" spans="1:24" ht="17.25" customHeight="1" thickBot="1" x14ac:dyDescent="0.4">
      <c r="C45" s="483" t="s">
        <v>677</v>
      </c>
      <c r="D45" s="484" t="s">
        <v>678</v>
      </c>
      <c r="E45" s="481"/>
      <c r="F45" s="481"/>
      <c r="G45" s="482"/>
      <c r="H45" s="482"/>
      <c r="I45" s="482"/>
      <c r="J45" s="482"/>
      <c r="K45" s="482"/>
      <c r="L45" s="482"/>
      <c r="M45" s="482"/>
      <c r="N45" s="482"/>
      <c r="O45" s="481"/>
      <c r="P45" s="481"/>
    </row>
    <row r="46" spans="1:24" s="492" customFormat="1" ht="36.75" customHeight="1" thickBot="1" x14ac:dyDescent="0.7">
      <c r="A46" s="481"/>
      <c r="B46" s="486" t="s">
        <v>679</v>
      </c>
      <c r="C46" s="487" t="s">
        <v>488</v>
      </c>
      <c r="D46" s="514" t="str">
        <f>VLOOKUP(C46,overview_of_services!$B$2:$I$88,3,FALSE)</f>
        <v>Detecting faults of technical building systems and providing support to the diagnosis of these faults</v>
      </c>
      <c r="E46" s="489"/>
      <c r="F46" s="490" t="s">
        <v>680</v>
      </c>
      <c r="G46" s="578" t="str">
        <f>VLOOKUP(C46,overview_of_services!$B$2:$I$88,2,FALSE)</f>
        <v>Fault detection</v>
      </c>
      <c r="H46" s="578"/>
      <c r="I46" s="490"/>
      <c r="J46" s="491"/>
      <c r="K46" s="491"/>
      <c r="L46" s="491"/>
      <c r="M46" s="491"/>
      <c r="N46" s="491"/>
      <c r="R46" s="492" t="s">
        <v>681</v>
      </c>
      <c r="S46" s="492">
        <f>ROW()</f>
        <v>46</v>
      </c>
    </row>
    <row r="47" spans="1:24" ht="5.25" customHeight="1" x14ac:dyDescent="0.35">
      <c r="C47" s="493"/>
      <c r="D47" s="493"/>
      <c r="E47" s="493"/>
      <c r="F47" s="493"/>
      <c r="G47" s="493"/>
      <c r="H47" s="493"/>
      <c r="I47" s="493"/>
      <c r="J47" s="493"/>
      <c r="K47" s="493"/>
      <c r="L47" s="493"/>
      <c r="M47" s="493"/>
      <c r="N47" s="493"/>
      <c r="O47" s="493"/>
      <c r="P47" s="481"/>
    </row>
    <row r="48" spans="1:24" ht="20.25" customHeight="1" outlineLevel="1" x14ac:dyDescent="0.35">
      <c r="C48" s="575" t="s">
        <v>682</v>
      </c>
      <c r="D48" s="575"/>
      <c r="E48" s="577" t="s">
        <v>683</v>
      </c>
      <c r="F48" s="577"/>
      <c r="G48" s="577"/>
      <c r="H48" s="577"/>
      <c r="I48" s="577"/>
      <c r="J48" s="577"/>
      <c r="K48" s="577"/>
      <c r="L48" s="573" t="s">
        <v>684</v>
      </c>
      <c r="M48" s="574"/>
      <c r="N48" s="569" t="s">
        <v>685</v>
      </c>
      <c r="O48" s="571" t="s">
        <v>686</v>
      </c>
      <c r="P48" s="481"/>
    </row>
    <row r="49" spans="1:24" ht="36.75" customHeight="1" outlineLevel="1" thickBot="1" x14ac:dyDescent="0.4">
      <c r="C49" s="576"/>
      <c r="D49" s="576"/>
      <c r="E49" s="495" t="s">
        <v>687</v>
      </c>
      <c r="F49" s="495" t="s">
        <v>688</v>
      </c>
      <c r="G49" s="495" t="s">
        <v>689</v>
      </c>
      <c r="H49" s="495" t="s">
        <v>690</v>
      </c>
      <c r="I49" s="495" t="s">
        <v>616</v>
      </c>
      <c r="J49" s="495" t="s">
        <v>691</v>
      </c>
      <c r="K49" s="495" t="s">
        <v>692</v>
      </c>
      <c r="L49" s="496" t="s">
        <v>693</v>
      </c>
      <c r="M49" s="496" t="s">
        <v>694</v>
      </c>
      <c r="N49" s="570"/>
      <c r="O49" s="572"/>
      <c r="P49" s="481"/>
    </row>
    <row r="50" spans="1:24" s="503" customFormat="1" ht="35.25" customHeight="1" outlineLevel="1" thickTop="1" x14ac:dyDescent="0.5">
      <c r="A50" s="481"/>
      <c r="B50" s="481"/>
      <c r="C50" s="497" t="s">
        <v>695</v>
      </c>
      <c r="D50" s="498" t="str">
        <f>VLOOKUP(C46,overview_of_services!$B$2:$I$88,4,FALSE)</f>
        <v>No central indication of detected faults and alarms</v>
      </c>
      <c r="E50" s="499">
        <v>0</v>
      </c>
      <c r="F50" s="499">
        <v>0</v>
      </c>
      <c r="G50" s="499">
        <v>0</v>
      </c>
      <c r="H50" s="499">
        <v>0</v>
      </c>
      <c r="I50" s="499">
        <v>0</v>
      </c>
      <c r="J50" s="499">
        <v>0</v>
      </c>
      <c r="K50" s="499">
        <v>0</v>
      </c>
      <c r="L50" s="530" t="s">
        <v>696</v>
      </c>
      <c r="M50" s="530" t="s">
        <v>696</v>
      </c>
      <c r="N50" s="531">
        <v>0</v>
      </c>
      <c r="O50" s="532" t="s">
        <v>721</v>
      </c>
      <c r="P50" s="504"/>
      <c r="R50" s="504">
        <f t="shared" ref="R50:X54" si="4">IF(E50=0,0,(IF(E50="+",1,(IF(E50="++",2,(IF(E50="+++",3,(IF(E50="++++",4,(IF(E50="-",-1,(IF(E50="--",-2,(IF(E50="---",-3,(IF(E50="----",-4,"NA")))))))))))))))))</f>
        <v>0</v>
      </c>
      <c r="S50" s="504">
        <f t="shared" si="4"/>
        <v>0</v>
      </c>
      <c r="T50" s="504">
        <f t="shared" si="4"/>
        <v>0</v>
      </c>
      <c r="U50" s="504">
        <f t="shared" si="4"/>
        <v>0</v>
      </c>
      <c r="V50" s="504">
        <f t="shared" si="4"/>
        <v>0</v>
      </c>
      <c r="W50" s="504">
        <f t="shared" si="4"/>
        <v>0</v>
      </c>
      <c r="X50" s="504">
        <f t="shared" si="4"/>
        <v>0</v>
      </c>
    </row>
    <row r="51" spans="1:24" s="503" customFormat="1" ht="35.25" customHeight="1" outlineLevel="1" x14ac:dyDescent="0.5">
      <c r="A51" s="481"/>
      <c r="B51" s="481"/>
      <c r="C51" s="505" t="s">
        <v>699</v>
      </c>
      <c r="D51" s="506" t="str">
        <f>VLOOKUP(C46,overview_of_services!$B$2:$I$88,5,FALSE)</f>
        <v>With central indication of detected faults and alarms</v>
      </c>
      <c r="E51" s="499">
        <v>0</v>
      </c>
      <c r="F51" s="499">
        <v>0</v>
      </c>
      <c r="G51" s="499">
        <v>0</v>
      </c>
      <c r="H51" s="499" t="s">
        <v>704</v>
      </c>
      <c r="I51" s="499" t="s">
        <v>704</v>
      </c>
      <c r="J51" s="499" t="s">
        <v>704</v>
      </c>
      <c r="K51" s="499" t="s">
        <v>704</v>
      </c>
      <c r="L51" s="530" t="s">
        <v>700</v>
      </c>
      <c r="M51" s="530" t="s">
        <v>704</v>
      </c>
      <c r="N51" s="531" t="s">
        <v>721</v>
      </c>
      <c r="O51" s="532" t="s">
        <v>721</v>
      </c>
      <c r="P51" s="504"/>
      <c r="R51" s="504">
        <f t="shared" si="4"/>
        <v>0</v>
      </c>
      <c r="S51" s="504">
        <f t="shared" si="4"/>
        <v>0</v>
      </c>
      <c r="T51" s="504">
        <f t="shared" si="4"/>
        <v>0</v>
      </c>
      <c r="U51" s="504">
        <f t="shared" si="4"/>
        <v>2</v>
      </c>
      <c r="V51" s="504">
        <f t="shared" si="4"/>
        <v>2</v>
      </c>
      <c r="W51" s="504">
        <f t="shared" si="4"/>
        <v>2</v>
      </c>
      <c r="X51" s="504">
        <f t="shared" si="4"/>
        <v>2</v>
      </c>
    </row>
    <row r="52" spans="1:24" s="503" customFormat="1" ht="35.25" customHeight="1" outlineLevel="1" x14ac:dyDescent="0.5">
      <c r="A52" s="481"/>
      <c r="B52" s="481"/>
      <c r="C52" s="505" t="s">
        <v>703</v>
      </c>
      <c r="D52" s="506" t="str">
        <f>VLOOKUP(C46,overview_of_services!$B$2:$I$88,6,FALSE)</f>
        <v>With central indication of detected faults and alarms / diagnosing functions</v>
      </c>
      <c r="E52" s="499">
        <v>0</v>
      </c>
      <c r="F52" s="499">
        <v>0</v>
      </c>
      <c r="G52" s="499">
        <v>0</v>
      </c>
      <c r="H52" s="499" t="s">
        <v>704</v>
      </c>
      <c r="I52" s="499" t="s">
        <v>704</v>
      </c>
      <c r="J52" s="499" t="s">
        <v>707</v>
      </c>
      <c r="K52" s="499" t="s">
        <v>704</v>
      </c>
      <c r="L52" s="530" t="s">
        <v>700</v>
      </c>
      <c r="M52" s="530" t="s">
        <v>700</v>
      </c>
      <c r="N52" s="531" t="s">
        <v>721</v>
      </c>
      <c r="O52" s="532" t="s">
        <v>721</v>
      </c>
      <c r="P52" s="504"/>
      <c r="R52" s="504">
        <f t="shared" si="4"/>
        <v>0</v>
      </c>
      <c r="S52" s="504">
        <f t="shared" si="4"/>
        <v>0</v>
      </c>
      <c r="T52" s="504">
        <f t="shared" si="4"/>
        <v>0</v>
      </c>
      <c r="U52" s="504">
        <f t="shared" si="4"/>
        <v>2</v>
      </c>
      <c r="V52" s="504">
        <f t="shared" si="4"/>
        <v>2</v>
      </c>
      <c r="W52" s="504">
        <f t="shared" si="4"/>
        <v>3</v>
      </c>
      <c r="X52" s="504">
        <f t="shared" si="4"/>
        <v>2</v>
      </c>
    </row>
    <row r="53" spans="1:24" s="503" customFormat="1" ht="35.25" customHeight="1" outlineLevel="1" x14ac:dyDescent="0.5">
      <c r="A53" s="481"/>
      <c r="B53" s="481"/>
      <c r="C53" s="505" t="s">
        <v>706</v>
      </c>
      <c r="D53" s="506">
        <f>VLOOKUP(C46,overview_of_services!$B$2:$I$88,7,FALSE)</f>
        <v>0</v>
      </c>
      <c r="E53" s="499"/>
      <c r="F53" s="499"/>
      <c r="G53" s="499"/>
      <c r="H53" s="499"/>
      <c r="I53" s="499"/>
      <c r="J53" s="499"/>
      <c r="K53" s="499"/>
      <c r="L53" s="500" t="s">
        <v>721</v>
      </c>
      <c r="M53" s="500" t="s">
        <v>721</v>
      </c>
      <c r="N53" s="501" t="s">
        <v>721</v>
      </c>
      <c r="O53" s="529" t="s">
        <v>721</v>
      </c>
      <c r="P53" s="504"/>
      <c r="R53" s="504">
        <f t="shared" si="4"/>
        <v>0</v>
      </c>
      <c r="S53" s="504">
        <f t="shared" si="4"/>
        <v>0</v>
      </c>
      <c r="T53" s="504">
        <f t="shared" si="4"/>
        <v>0</v>
      </c>
      <c r="U53" s="504">
        <f t="shared" si="4"/>
        <v>0</v>
      </c>
      <c r="V53" s="504">
        <f t="shared" si="4"/>
        <v>0</v>
      </c>
      <c r="W53" s="504">
        <f t="shared" si="4"/>
        <v>0</v>
      </c>
      <c r="X53" s="504">
        <f t="shared" si="4"/>
        <v>0</v>
      </c>
    </row>
    <row r="54" spans="1:24" s="503" customFormat="1" ht="35.25" customHeight="1" outlineLevel="1" x14ac:dyDescent="0.5">
      <c r="A54" s="481"/>
      <c r="B54" s="481"/>
      <c r="C54" s="505" t="s">
        <v>710</v>
      </c>
      <c r="D54" s="506">
        <f>VLOOKUP(C46,overview_of_services!$B$2:$I$88,8,FALSE)</f>
        <v>0</v>
      </c>
      <c r="E54" s="507"/>
      <c r="F54" s="499"/>
      <c r="G54" s="507"/>
      <c r="H54" s="507"/>
      <c r="I54" s="499"/>
      <c r="J54" s="499"/>
      <c r="K54" s="499"/>
      <c r="L54" s="500" t="s">
        <v>721</v>
      </c>
      <c r="M54" s="500" t="s">
        <v>721</v>
      </c>
      <c r="N54" s="501" t="s">
        <v>721</v>
      </c>
      <c r="O54" s="529" t="s">
        <v>721</v>
      </c>
      <c r="P54" s="504"/>
      <c r="R54" s="504">
        <f t="shared" si="4"/>
        <v>0</v>
      </c>
      <c r="S54" s="504">
        <f t="shared" si="4"/>
        <v>0</v>
      </c>
      <c r="T54" s="504">
        <f t="shared" si="4"/>
        <v>0</v>
      </c>
      <c r="U54" s="504">
        <f t="shared" si="4"/>
        <v>0</v>
      </c>
      <c r="V54" s="504">
        <f t="shared" si="4"/>
        <v>0</v>
      </c>
      <c r="W54" s="504">
        <f t="shared" si="4"/>
        <v>0</v>
      </c>
      <c r="X54" s="504">
        <f t="shared" si="4"/>
        <v>0</v>
      </c>
    </row>
    <row r="55" spans="1:24" s="503" customFormat="1" ht="6" customHeight="1" outlineLevel="2" thickBot="1" x14ac:dyDescent="0.4">
      <c r="A55" s="481"/>
      <c r="B55" s="481"/>
      <c r="C55" s="504"/>
      <c r="D55" s="504"/>
      <c r="E55" s="508"/>
      <c r="F55" s="508"/>
      <c r="G55" s="508"/>
      <c r="H55" s="508"/>
      <c r="I55" s="508"/>
      <c r="J55" s="508"/>
      <c r="K55" s="508"/>
      <c r="L55" s="504"/>
      <c r="M55" s="504"/>
      <c r="N55" s="504"/>
      <c r="O55" s="504"/>
      <c r="P55" s="504"/>
    </row>
    <row r="56" spans="1:24" s="503" customFormat="1" ht="30.75" customHeight="1" outlineLevel="2" thickBot="1" x14ac:dyDescent="0.4">
      <c r="A56" s="481"/>
      <c r="B56" s="481"/>
      <c r="C56" s="509"/>
      <c r="D56" s="509" t="s">
        <v>712</v>
      </c>
      <c r="E56" s="511" t="s">
        <v>729</v>
      </c>
      <c r="F56" s="511" t="s">
        <v>729</v>
      </c>
      <c r="G56" s="511" t="s">
        <v>729</v>
      </c>
      <c r="H56" s="511" t="s">
        <v>729</v>
      </c>
      <c r="I56" s="511" t="s">
        <v>729</v>
      </c>
      <c r="J56" s="511" t="s">
        <v>729</v>
      </c>
      <c r="K56" s="511" t="s">
        <v>729</v>
      </c>
      <c r="L56" s="511" t="s">
        <v>729</v>
      </c>
      <c r="M56" s="511" t="s">
        <v>729</v>
      </c>
      <c r="N56" s="511" t="s">
        <v>729</v>
      </c>
      <c r="O56" s="513"/>
      <c r="P56" s="504"/>
    </row>
    <row r="57" spans="1:24" s="503" customFormat="1" ht="30.75" customHeight="1" outlineLevel="2" thickBot="1" x14ac:dyDescent="0.4">
      <c r="A57" s="481"/>
      <c r="B57" s="481"/>
      <c r="C57" s="509"/>
      <c r="D57" s="509" t="s">
        <v>714</v>
      </c>
      <c r="E57" s="510"/>
      <c r="F57" s="512"/>
      <c r="G57" s="511"/>
      <c r="H57" s="511"/>
      <c r="I57" s="511"/>
      <c r="J57" s="511"/>
      <c r="K57" s="511"/>
      <c r="L57" s="517"/>
      <c r="M57" s="518"/>
      <c r="N57" s="513"/>
      <c r="O57" s="513"/>
      <c r="P57" s="504"/>
    </row>
    <row r="58" spans="1:24" ht="20.25" customHeight="1" outlineLevel="1" thickBot="1" x14ac:dyDescent="0.4">
      <c r="C58" s="481"/>
      <c r="D58" s="481"/>
      <c r="E58" s="481"/>
      <c r="F58" s="481"/>
      <c r="G58" s="482"/>
      <c r="H58" s="482"/>
      <c r="I58" s="482"/>
      <c r="J58" s="482"/>
      <c r="K58" s="482"/>
      <c r="L58" s="482"/>
      <c r="M58" s="482"/>
      <c r="N58" s="482"/>
      <c r="O58" s="481"/>
      <c r="P58" s="481"/>
    </row>
    <row r="59" spans="1:24" ht="17.25" customHeight="1" thickBot="1" x14ac:dyDescent="0.4">
      <c r="C59" s="483" t="s">
        <v>677</v>
      </c>
      <c r="D59" s="484" t="s">
        <v>678</v>
      </c>
      <c r="E59" s="481"/>
      <c r="F59" s="481"/>
      <c r="G59" s="482"/>
      <c r="H59" s="482"/>
      <c r="I59" s="482"/>
      <c r="J59" s="482"/>
      <c r="K59" s="482"/>
      <c r="L59" s="482"/>
      <c r="M59" s="482"/>
      <c r="N59" s="482"/>
      <c r="O59" s="481"/>
      <c r="P59" s="481"/>
    </row>
    <row r="60" spans="1:24" s="492" customFormat="1" ht="36.75" customHeight="1" thickBot="1" x14ac:dyDescent="0.7">
      <c r="A60" s="481"/>
      <c r="B60" s="486" t="s">
        <v>679</v>
      </c>
      <c r="C60" s="487" t="s">
        <v>495</v>
      </c>
      <c r="D60" s="514" t="str">
        <f>VLOOKUP(C60,overview_of_services!$B$2:$I$88,3,FALSE)</f>
        <v>Reporting information regarding current energy consumption</v>
      </c>
      <c r="E60" s="489"/>
      <c r="F60" s="490" t="s">
        <v>680</v>
      </c>
      <c r="G60" s="578" t="str">
        <f>VLOOKUP(C60,overview_of_services!$B$2:$I$88,2,FALSE)</f>
        <v>Feedback - Reporting information</v>
      </c>
      <c r="H60" s="578"/>
      <c r="I60" s="490"/>
      <c r="J60" s="491"/>
      <c r="K60" s="491"/>
      <c r="L60" s="491"/>
      <c r="M60" s="491"/>
      <c r="N60" s="491"/>
      <c r="R60" s="492" t="s">
        <v>681</v>
      </c>
      <c r="S60" s="492">
        <f>ROW()</f>
        <v>60</v>
      </c>
    </row>
    <row r="61" spans="1:24" ht="5.25" customHeight="1" x14ac:dyDescent="0.35">
      <c r="C61" s="493"/>
      <c r="D61" s="493"/>
      <c r="E61" s="493"/>
      <c r="F61" s="493"/>
      <c r="G61" s="493"/>
      <c r="H61" s="493"/>
      <c r="I61" s="493"/>
      <c r="J61" s="493"/>
      <c r="K61" s="493"/>
      <c r="L61" s="493"/>
      <c r="M61" s="493"/>
      <c r="N61" s="493"/>
      <c r="O61" s="493"/>
      <c r="P61" s="481"/>
    </row>
    <row r="62" spans="1:24" ht="20.25" customHeight="1" outlineLevel="1" x14ac:dyDescent="0.35">
      <c r="C62" s="575" t="s">
        <v>682</v>
      </c>
      <c r="D62" s="575"/>
      <c r="E62" s="577" t="s">
        <v>683</v>
      </c>
      <c r="F62" s="577"/>
      <c r="G62" s="577"/>
      <c r="H62" s="577"/>
      <c r="I62" s="577"/>
      <c r="J62" s="577"/>
      <c r="K62" s="577"/>
      <c r="L62" s="573" t="s">
        <v>684</v>
      </c>
      <c r="M62" s="574"/>
      <c r="N62" s="569" t="s">
        <v>685</v>
      </c>
      <c r="O62" s="571" t="s">
        <v>686</v>
      </c>
      <c r="P62" s="481"/>
    </row>
    <row r="63" spans="1:24" ht="36.75" customHeight="1" outlineLevel="1" thickBot="1" x14ac:dyDescent="0.4">
      <c r="C63" s="576"/>
      <c r="D63" s="576"/>
      <c r="E63" s="495" t="s">
        <v>687</v>
      </c>
      <c r="F63" s="495" t="s">
        <v>688</v>
      </c>
      <c r="G63" s="495" t="s">
        <v>689</v>
      </c>
      <c r="H63" s="495" t="s">
        <v>690</v>
      </c>
      <c r="I63" s="495" t="s">
        <v>616</v>
      </c>
      <c r="J63" s="495" t="s">
        <v>691</v>
      </c>
      <c r="K63" s="495" t="s">
        <v>692</v>
      </c>
      <c r="L63" s="496" t="s">
        <v>693</v>
      </c>
      <c r="M63" s="496" t="s">
        <v>694</v>
      </c>
      <c r="N63" s="570"/>
      <c r="O63" s="572"/>
      <c r="P63" s="481"/>
    </row>
    <row r="64" spans="1:24" s="503" customFormat="1" ht="35.25" customHeight="1" outlineLevel="1" thickTop="1" x14ac:dyDescent="0.5">
      <c r="A64" s="481"/>
      <c r="B64" s="481"/>
      <c r="C64" s="497" t="s">
        <v>695</v>
      </c>
      <c r="D64" s="498" t="str">
        <f>VLOOKUP(C60,overview_of_services!$B$2:$I$88,4,FALSE)</f>
        <v>None</v>
      </c>
      <c r="E64" s="499">
        <v>0</v>
      </c>
      <c r="F64" s="499">
        <v>0</v>
      </c>
      <c r="G64" s="499">
        <v>0</v>
      </c>
      <c r="H64" s="499">
        <v>0</v>
      </c>
      <c r="I64" s="499">
        <v>0</v>
      </c>
      <c r="J64" s="499">
        <v>0</v>
      </c>
      <c r="K64" s="499">
        <v>0</v>
      </c>
      <c r="L64" s="530" t="s">
        <v>696</v>
      </c>
      <c r="M64" s="530" t="s">
        <v>696</v>
      </c>
      <c r="N64" s="531">
        <v>0</v>
      </c>
      <c r="O64" s="532" t="s">
        <v>721</v>
      </c>
      <c r="P64" s="504"/>
      <c r="R64" s="504">
        <f t="shared" ref="R64:X68" si="5">IF(E64=0,0,(IF(E64="+",1,(IF(E64="++",2,(IF(E64="+++",3,(IF(E64="++++",4,(IF(E64="-",-1,(IF(E64="--",-2,(IF(E64="---",-3,(IF(E64="----",-4,"NA")))))))))))))))))</f>
        <v>0</v>
      </c>
      <c r="S64" s="504">
        <f t="shared" si="5"/>
        <v>0</v>
      </c>
      <c r="T64" s="504">
        <f t="shared" si="5"/>
        <v>0</v>
      </c>
      <c r="U64" s="504">
        <f t="shared" si="5"/>
        <v>0</v>
      </c>
      <c r="V64" s="504">
        <f t="shared" si="5"/>
        <v>0</v>
      </c>
      <c r="W64" s="504">
        <f t="shared" si="5"/>
        <v>0</v>
      </c>
      <c r="X64" s="504">
        <f t="shared" si="5"/>
        <v>0</v>
      </c>
    </row>
    <row r="65" spans="1:24" s="503" customFormat="1" ht="35.25" customHeight="1" outlineLevel="1" x14ac:dyDescent="0.5">
      <c r="A65" s="481"/>
      <c r="B65" s="481"/>
      <c r="C65" s="505" t="s">
        <v>699</v>
      </c>
      <c r="D65" s="506" t="str">
        <f>VLOOKUP(C60,overview_of_services!$B$2:$I$88,5,FALSE)</f>
        <v>Indication of actual values only (e.g. temperatures, meter values)</v>
      </c>
      <c r="E65" s="499">
        <v>0</v>
      </c>
      <c r="F65" s="499">
        <v>0</v>
      </c>
      <c r="G65" s="499">
        <v>0</v>
      </c>
      <c r="H65" s="499">
        <v>0</v>
      </c>
      <c r="I65" s="499">
        <v>0</v>
      </c>
      <c r="J65" s="499">
        <v>0</v>
      </c>
      <c r="K65" s="499" t="s">
        <v>700</v>
      </c>
      <c r="L65" s="530" t="s">
        <v>704</v>
      </c>
      <c r="M65" s="530" t="s">
        <v>704</v>
      </c>
      <c r="N65" s="531" t="s">
        <v>791</v>
      </c>
      <c r="O65" s="532" t="s">
        <v>721</v>
      </c>
      <c r="P65" s="504"/>
      <c r="R65" s="504">
        <f t="shared" si="5"/>
        <v>0</v>
      </c>
      <c r="S65" s="504">
        <f t="shared" si="5"/>
        <v>0</v>
      </c>
      <c r="T65" s="504">
        <f t="shared" si="5"/>
        <v>0</v>
      </c>
      <c r="U65" s="504">
        <f t="shared" si="5"/>
        <v>0</v>
      </c>
      <c r="V65" s="504">
        <f t="shared" si="5"/>
        <v>0</v>
      </c>
      <c r="W65" s="504">
        <f t="shared" si="5"/>
        <v>0</v>
      </c>
      <c r="X65" s="504">
        <f t="shared" si="5"/>
        <v>1</v>
      </c>
    </row>
    <row r="66" spans="1:24" s="503" customFormat="1" ht="35.25" customHeight="1" outlineLevel="1" x14ac:dyDescent="0.5">
      <c r="A66" s="481"/>
      <c r="B66" s="481"/>
      <c r="C66" s="505" t="s">
        <v>703</v>
      </c>
      <c r="D66" s="506" t="str">
        <f>VLOOKUP(C60,overview_of_services!$B$2:$I$88,6,FALSE)</f>
        <v>Trending functions and consumption determination</v>
      </c>
      <c r="E66" s="499" t="s">
        <v>700</v>
      </c>
      <c r="F66" s="499">
        <v>0</v>
      </c>
      <c r="G66" s="499">
        <v>0</v>
      </c>
      <c r="H66" s="499">
        <v>0</v>
      </c>
      <c r="I66" s="499">
        <v>0</v>
      </c>
      <c r="J66" s="499">
        <v>0</v>
      </c>
      <c r="K66" s="499" t="s">
        <v>704</v>
      </c>
      <c r="L66" s="530" t="s">
        <v>700</v>
      </c>
      <c r="M66" s="530" t="s">
        <v>704</v>
      </c>
      <c r="N66" s="531" t="s">
        <v>791</v>
      </c>
      <c r="O66" s="532" t="s">
        <v>721</v>
      </c>
      <c r="P66" s="504"/>
      <c r="R66" s="504">
        <f t="shared" si="5"/>
        <v>1</v>
      </c>
      <c r="S66" s="504">
        <f t="shared" si="5"/>
        <v>0</v>
      </c>
      <c r="T66" s="504">
        <f t="shared" si="5"/>
        <v>0</v>
      </c>
      <c r="U66" s="504">
        <f t="shared" si="5"/>
        <v>0</v>
      </c>
      <c r="V66" s="504">
        <f t="shared" si="5"/>
        <v>0</v>
      </c>
      <c r="W66" s="504">
        <f t="shared" si="5"/>
        <v>0</v>
      </c>
      <c r="X66" s="504">
        <f t="shared" si="5"/>
        <v>2</v>
      </c>
    </row>
    <row r="67" spans="1:24" s="503" customFormat="1" ht="35.25" customHeight="1" outlineLevel="1" x14ac:dyDescent="0.5">
      <c r="A67" s="481"/>
      <c r="B67" s="481"/>
      <c r="C67" s="505" t="s">
        <v>706</v>
      </c>
      <c r="D67" s="506" t="str">
        <f>VLOOKUP(C60,overview_of_services!$B$2:$I$88,7,FALSE)</f>
        <v>Analysing, performance evaluation, benchmarking</v>
      </c>
      <c r="E67" s="499" t="s">
        <v>700</v>
      </c>
      <c r="F67" s="499">
        <v>0</v>
      </c>
      <c r="G67" s="499">
        <v>0</v>
      </c>
      <c r="H67" s="499">
        <v>0</v>
      </c>
      <c r="I67" s="499">
        <v>0</v>
      </c>
      <c r="J67" s="499">
        <v>0</v>
      </c>
      <c r="K67" s="499" t="s">
        <v>707</v>
      </c>
      <c r="L67" s="530" t="s">
        <v>700</v>
      </c>
      <c r="M67" s="530" t="s">
        <v>700</v>
      </c>
      <c r="N67" s="531" t="s">
        <v>791</v>
      </c>
      <c r="O67" s="532" t="s">
        <v>721</v>
      </c>
      <c r="P67" s="504"/>
      <c r="R67" s="504">
        <f t="shared" si="5"/>
        <v>1</v>
      </c>
      <c r="S67" s="504">
        <f t="shared" si="5"/>
        <v>0</v>
      </c>
      <c r="T67" s="504">
        <f t="shared" si="5"/>
        <v>0</v>
      </c>
      <c r="U67" s="504">
        <f t="shared" si="5"/>
        <v>0</v>
      </c>
      <c r="V67" s="504">
        <f t="shared" si="5"/>
        <v>0</v>
      </c>
      <c r="W67" s="504">
        <f t="shared" si="5"/>
        <v>0</v>
      </c>
      <c r="X67" s="504">
        <f t="shared" si="5"/>
        <v>3</v>
      </c>
    </row>
    <row r="68" spans="1:24" s="503" customFormat="1" ht="35.25" customHeight="1" outlineLevel="1" x14ac:dyDescent="0.5">
      <c r="A68" s="481"/>
      <c r="B68" s="481"/>
      <c r="C68" s="505" t="s">
        <v>710</v>
      </c>
      <c r="D68" s="506">
        <f>VLOOKUP(C60,overview_of_services!$B$2:$I$88,8,FALSE)</f>
        <v>0</v>
      </c>
      <c r="E68" s="507"/>
      <c r="F68" s="499"/>
      <c r="G68" s="507"/>
      <c r="H68" s="507"/>
      <c r="I68" s="499"/>
      <c r="J68" s="499"/>
      <c r="K68" s="499"/>
      <c r="L68" s="500" t="s">
        <v>721</v>
      </c>
      <c r="M68" s="500" t="s">
        <v>721</v>
      </c>
      <c r="N68" s="501" t="s">
        <v>721</v>
      </c>
      <c r="O68" s="529" t="s">
        <v>721</v>
      </c>
      <c r="P68" s="504"/>
      <c r="R68" s="504">
        <f t="shared" si="5"/>
        <v>0</v>
      </c>
      <c r="S68" s="504">
        <f t="shared" si="5"/>
        <v>0</v>
      </c>
      <c r="T68" s="504">
        <f t="shared" si="5"/>
        <v>0</v>
      </c>
      <c r="U68" s="504">
        <f t="shared" si="5"/>
        <v>0</v>
      </c>
      <c r="V68" s="504">
        <f t="shared" si="5"/>
        <v>0</v>
      </c>
      <c r="W68" s="504">
        <f t="shared" si="5"/>
        <v>0</v>
      </c>
      <c r="X68" s="504">
        <f t="shared" si="5"/>
        <v>0</v>
      </c>
    </row>
    <row r="69" spans="1:24" s="503" customFormat="1" ht="6" customHeight="1" outlineLevel="2" thickBot="1" x14ac:dyDescent="0.4">
      <c r="A69" s="481"/>
      <c r="B69" s="481"/>
      <c r="C69" s="504"/>
      <c r="D69" s="504"/>
      <c r="E69" s="508"/>
      <c r="F69" s="508"/>
      <c r="G69" s="508"/>
      <c r="H69" s="508"/>
      <c r="I69" s="508"/>
      <c r="J69" s="508"/>
      <c r="K69" s="508"/>
      <c r="L69" s="504"/>
      <c r="M69" s="504"/>
      <c r="N69" s="504"/>
      <c r="O69" s="504"/>
      <c r="P69" s="504"/>
    </row>
    <row r="70" spans="1:24" s="503" customFormat="1" ht="30.75" customHeight="1" outlineLevel="2" thickBot="1" x14ac:dyDescent="0.4">
      <c r="A70" s="481"/>
      <c r="B70" s="481"/>
      <c r="C70" s="509"/>
      <c r="D70" s="509" t="s">
        <v>712</v>
      </c>
      <c r="E70" s="511" t="s">
        <v>729</v>
      </c>
      <c r="F70" s="511" t="s">
        <v>729</v>
      </c>
      <c r="G70" s="511" t="s">
        <v>729</v>
      </c>
      <c r="H70" s="511" t="s">
        <v>729</v>
      </c>
      <c r="I70" s="511" t="s">
        <v>729</v>
      </c>
      <c r="J70" s="511" t="s">
        <v>729</v>
      </c>
      <c r="K70" s="511" t="s">
        <v>729</v>
      </c>
      <c r="L70" s="511" t="s">
        <v>729</v>
      </c>
      <c r="M70" s="511" t="s">
        <v>729</v>
      </c>
      <c r="N70" s="511" t="s">
        <v>729</v>
      </c>
      <c r="O70" s="513"/>
      <c r="P70" s="504"/>
    </row>
    <row r="71" spans="1:24" s="503" customFormat="1" ht="30.75" customHeight="1" outlineLevel="2" thickBot="1" x14ac:dyDescent="0.4">
      <c r="A71" s="481"/>
      <c r="B71" s="481"/>
      <c r="C71" s="509"/>
      <c r="D71" s="509" t="s">
        <v>714</v>
      </c>
      <c r="E71" s="510"/>
      <c r="F71" s="512"/>
      <c r="G71" s="511"/>
      <c r="H71" s="511"/>
      <c r="I71" s="511"/>
      <c r="J71" s="511"/>
      <c r="K71" s="511"/>
      <c r="L71" s="517"/>
      <c r="M71" s="518"/>
      <c r="N71" s="513"/>
      <c r="O71" s="513"/>
      <c r="P71" s="504"/>
    </row>
    <row r="72" spans="1:24" ht="20.25" customHeight="1" outlineLevel="1" thickBot="1" x14ac:dyDescent="0.4">
      <c r="C72" s="481"/>
      <c r="D72" s="481"/>
      <c r="E72" s="481"/>
      <c r="F72" s="481"/>
      <c r="G72" s="482"/>
      <c r="H72" s="482"/>
      <c r="I72" s="482"/>
      <c r="J72" s="482"/>
      <c r="K72" s="482"/>
      <c r="L72" s="482"/>
      <c r="M72" s="482"/>
      <c r="N72" s="482"/>
      <c r="O72" s="481"/>
      <c r="P72" s="481"/>
    </row>
    <row r="73" spans="1:24" ht="17.25" customHeight="1" thickBot="1" x14ac:dyDescent="0.4">
      <c r="C73" s="483" t="s">
        <v>677</v>
      </c>
      <c r="D73" s="484" t="s">
        <v>678</v>
      </c>
      <c r="E73" s="481"/>
      <c r="F73" s="481"/>
      <c r="G73" s="482"/>
      <c r="H73" s="482"/>
      <c r="I73" s="482"/>
      <c r="J73" s="482"/>
      <c r="K73" s="482"/>
      <c r="L73" s="482"/>
      <c r="M73" s="482"/>
      <c r="N73" s="482"/>
      <c r="O73" s="481"/>
      <c r="P73" s="481"/>
    </row>
    <row r="74" spans="1:24" s="492" customFormat="1" ht="36.75" customHeight="1" thickBot="1" x14ac:dyDescent="0.7">
      <c r="A74" s="481"/>
      <c r="B74" s="486" t="s">
        <v>679</v>
      </c>
      <c r="C74" s="487" t="s">
        <v>502</v>
      </c>
      <c r="D74" s="514" t="str">
        <f>VLOOKUP(C74,overview_of_services!$B$2:$I$88,3,FALSE)</f>
        <v>Reporting information regarding historical energy consumption</v>
      </c>
      <c r="E74" s="489"/>
      <c r="F74" s="490" t="s">
        <v>680</v>
      </c>
      <c r="G74" s="578" t="str">
        <f>VLOOKUP(C74,overview_of_services!$B$2:$I$88,2,FALSE)</f>
        <v xml:space="preserve">Feedback - Reporting information </v>
      </c>
      <c r="H74" s="578"/>
      <c r="I74" s="490"/>
      <c r="J74" s="491"/>
      <c r="K74" s="491"/>
      <c r="L74" s="491"/>
      <c r="M74" s="491"/>
      <c r="N74" s="491"/>
      <c r="R74" s="492" t="s">
        <v>681</v>
      </c>
      <c r="S74" s="492">
        <f>ROW()</f>
        <v>74</v>
      </c>
    </row>
    <row r="75" spans="1:24" ht="5.25" customHeight="1" x14ac:dyDescent="0.35">
      <c r="C75" s="493"/>
      <c r="D75" s="493"/>
      <c r="E75" s="493"/>
      <c r="F75" s="493"/>
      <c r="G75" s="493"/>
      <c r="H75" s="493"/>
      <c r="I75" s="493"/>
      <c r="J75" s="493"/>
      <c r="K75" s="493"/>
      <c r="L75" s="493"/>
      <c r="M75" s="493"/>
      <c r="N75" s="493"/>
      <c r="O75" s="493"/>
      <c r="P75" s="481"/>
    </row>
    <row r="76" spans="1:24" ht="20.25" customHeight="1" outlineLevel="1" x14ac:dyDescent="0.35">
      <c r="C76" s="575" t="s">
        <v>682</v>
      </c>
      <c r="D76" s="575"/>
      <c r="E76" s="577" t="s">
        <v>683</v>
      </c>
      <c r="F76" s="577"/>
      <c r="G76" s="577"/>
      <c r="H76" s="577"/>
      <c r="I76" s="577"/>
      <c r="J76" s="577"/>
      <c r="K76" s="577"/>
      <c r="L76" s="573" t="s">
        <v>684</v>
      </c>
      <c r="M76" s="574"/>
      <c r="N76" s="569" t="s">
        <v>685</v>
      </c>
      <c r="O76" s="571" t="s">
        <v>686</v>
      </c>
      <c r="P76" s="481"/>
    </row>
    <row r="77" spans="1:24" ht="36.75" customHeight="1" outlineLevel="1" thickBot="1" x14ac:dyDescent="0.4">
      <c r="C77" s="576"/>
      <c r="D77" s="576"/>
      <c r="E77" s="495" t="s">
        <v>687</v>
      </c>
      <c r="F77" s="495" t="s">
        <v>688</v>
      </c>
      <c r="G77" s="495" t="s">
        <v>689</v>
      </c>
      <c r="H77" s="495" t="s">
        <v>690</v>
      </c>
      <c r="I77" s="495" t="s">
        <v>616</v>
      </c>
      <c r="J77" s="495" t="s">
        <v>691</v>
      </c>
      <c r="K77" s="495" t="s">
        <v>692</v>
      </c>
      <c r="L77" s="496" t="s">
        <v>693</v>
      </c>
      <c r="M77" s="496" t="s">
        <v>694</v>
      </c>
      <c r="N77" s="570"/>
      <c r="O77" s="572"/>
      <c r="P77" s="481"/>
    </row>
    <row r="78" spans="1:24" s="503" customFormat="1" ht="35.25" customHeight="1" outlineLevel="1" thickTop="1" x14ac:dyDescent="0.5">
      <c r="A78" s="481"/>
      <c r="B78" s="481"/>
      <c r="C78" s="497" t="s">
        <v>695</v>
      </c>
      <c r="D78" s="498" t="str">
        <f>VLOOKUP(C74,overview_of_services!$B$2:$I$88,4,FALSE)</f>
        <v>None</v>
      </c>
      <c r="E78" s="499">
        <v>0</v>
      </c>
      <c r="F78" s="499">
        <v>0</v>
      </c>
      <c r="G78" s="499">
        <v>0</v>
      </c>
      <c r="H78" s="499">
        <v>0</v>
      </c>
      <c r="I78" s="499">
        <v>0</v>
      </c>
      <c r="J78" s="499">
        <v>0</v>
      </c>
      <c r="K78" s="499">
        <v>0</v>
      </c>
      <c r="L78" s="530" t="s">
        <v>696</v>
      </c>
      <c r="M78" s="530" t="s">
        <v>696</v>
      </c>
      <c r="N78" s="531">
        <v>0</v>
      </c>
      <c r="O78" s="532" t="s">
        <v>721</v>
      </c>
      <c r="P78" s="504"/>
      <c r="R78" s="504">
        <f t="shared" ref="R78:X82" si="6">IF(E78=0,0,(IF(E78="+",1,(IF(E78="++",2,(IF(E78="+++",3,(IF(E78="++++",4,(IF(E78="-",-1,(IF(E78="--",-2,(IF(E78="---",-3,(IF(E78="----",-4,"NA")))))))))))))))))</f>
        <v>0</v>
      </c>
      <c r="S78" s="504">
        <f t="shared" si="6"/>
        <v>0</v>
      </c>
      <c r="T78" s="504">
        <f t="shared" si="6"/>
        <v>0</v>
      </c>
      <c r="U78" s="504">
        <f t="shared" si="6"/>
        <v>0</v>
      </c>
      <c r="V78" s="504">
        <f t="shared" si="6"/>
        <v>0</v>
      </c>
      <c r="W78" s="504">
        <f t="shared" si="6"/>
        <v>0</v>
      </c>
      <c r="X78" s="504">
        <f t="shared" si="6"/>
        <v>0</v>
      </c>
    </row>
    <row r="79" spans="1:24" s="503" customFormat="1" ht="35.25" customHeight="1" outlineLevel="1" x14ac:dyDescent="0.5">
      <c r="A79" s="481"/>
      <c r="B79" s="481"/>
      <c r="C79" s="505" t="s">
        <v>699</v>
      </c>
      <c r="D79" s="506" t="str">
        <f>VLOOKUP(C74,overview_of_services!$B$2:$I$88,5,FALSE)</f>
        <v>Indication of actual values only (e.g. temperatures, meter values)</v>
      </c>
      <c r="E79" s="499">
        <v>0</v>
      </c>
      <c r="F79" s="499">
        <v>0</v>
      </c>
      <c r="G79" s="499">
        <v>0</v>
      </c>
      <c r="H79" s="499">
        <v>0</v>
      </c>
      <c r="I79" s="499">
        <v>0</v>
      </c>
      <c r="J79" s="499">
        <v>0</v>
      </c>
      <c r="K79" s="499" t="s">
        <v>700</v>
      </c>
      <c r="L79" s="530" t="s">
        <v>700</v>
      </c>
      <c r="M79" s="530" t="s">
        <v>700</v>
      </c>
      <c r="N79" s="531" t="s">
        <v>809</v>
      </c>
      <c r="O79" s="532" t="s">
        <v>721</v>
      </c>
      <c r="P79" s="504"/>
      <c r="R79" s="504">
        <f t="shared" si="6"/>
        <v>0</v>
      </c>
      <c r="S79" s="504">
        <f t="shared" si="6"/>
        <v>0</v>
      </c>
      <c r="T79" s="504">
        <f t="shared" si="6"/>
        <v>0</v>
      </c>
      <c r="U79" s="504">
        <f t="shared" si="6"/>
        <v>0</v>
      </c>
      <c r="V79" s="504">
        <f t="shared" si="6"/>
        <v>0</v>
      </c>
      <c r="W79" s="504">
        <f t="shared" si="6"/>
        <v>0</v>
      </c>
      <c r="X79" s="504">
        <f t="shared" si="6"/>
        <v>1</v>
      </c>
    </row>
    <row r="80" spans="1:24" s="503" customFormat="1" ht="35.25" customHeight="1" outlineLevel="1" x14ac:dyDescent="0.5">
      <c r="A80" s="481"/>
      <c r="B80" s="481"/>
      <c r="C80" s="505" t="s">
        <v>703</v>
      </c>
      <c r="D80" s="506" t="str">
        <f>VLOOKUP(C74,overview_of_services!$B$2:$I$88,6,FALSE)</f>
        <v>Trending functions and consumption determination</v>
      </c>
      <c r="E80" s="499" t="s">
        <v>700</v>
      </c>
      <c r="F80" s="499">
        <v>0</v>
      </c>
      <c r="G80" s="499">
        <v>0</v>
      </c>
      <c r="H80" s="499">
        <v>0</v>
      </c>
      <c r="I80" s="499">
        <v>0</v>
      </c>
      <c r="J80" s="499">
        <v>0</v>
      </c>
      <c r="K80" s="499" t="s">
        <v>704</v>
      </c>
      <c r="L80" s="530" t="s">
        <v>700</v>
      </c>
      <c r="M80" s="530" t="s">
        <v>700</v>
      </c>
      <c r="N80" s="531" t="s">
        <v>809</v>
      </c>
      <c r="O80" s="532" t="s">
        <v>721</v>
      </c>
      <c r="P80" s="504"/>
      <c r="R80" s="504">
        <f t="shared" si="6"/>
        <v>1</v>
      </c>
      <c r="S80" s="504">
        <f t="shared" si="6"/>
        <v>0</v>
      </c>
      <c r="T80" s="504">
        <f t="shared" si="6"/>
        <v>0</v>
      </c>
      <c r="U80" s="504">
        <f t="shared" si="6"/>
        <v>0</v>
      </c>
      <c r="V80" s="504">
        <f t="shared" si="6"/>
        <v>0</v>
      </c>
      <c r="W80" s="504">
        <f t="shared" si="6"/>
        <v>0</v>
      </c>
      <c r="X80" s="504">
        <f t="shared" si="6"/>
        <v>2</v>
      </c>
    </row>
    <row r="81" spans="1:24" s="503" customFormat="1" ht="35.25" customHeight="1" outlineLevel="1" x14ac:dyDescent="0.5">
      <c r="A81" s="481"/>
      <c r="B81" s="481"/>
      <c r="C81" s="505" t="s">
        <v>706</v>
      </c>
      <c r="D81" s="506" t="str">
        <f>VLOOKUP(C74,overview_of_services!$B$2:$I$88,7,FALSE)</f>
        <v>Analysing, performance evaluation, benchmarking</v>
      </c>
      <c r="E81" s="499" t="s">
        <v>700</v>
      </c>
      <c r="F81" s="499">
        <v>0</v>
      </c>
      <c r="G81" s="499">
        <v>0</v>
      </c>
      <c r="H81" s="499">
        <v>0</v>
      </c>
      <c r="I81" s="499">
        <v>0</v>
      </c>
      <c r="J81" s="499">
        <v>0</v>
      </c>
      <c r="K81" s="499" t="s">
        <v>707</v>
      </c>
      <c r="L81" s="530">
        <v>0</v>
      </c>
      <c r="M81" s="530">
        <v>0</v>
      </c>
      <c r="N81" s="531" t="s">
        <v>809</v>
      </c>
      <c r="O81" s="532" t="s">
        <v>721</v>
      </c>
      <c r="P81" s="504"/>
      <c r="R81" s="504">
        <f t="shared" si="6"/>
        <v>1</v>
      </c>
      <c r="S81" s="504">
        <f t="shared" si="6"/>
        <v>0</v>
      </c>
      <c r="T81" s="504">
        <f t="shared" si="6"/>
        <v>0</v>
      </c>
      <c r="U81" s="504">
        <f t="shared" si="6"/>
        <v>0</v>
      </c>
      <c r="V81" s="504">
        <f t="shared" si="6"/>
        <v>0</v>
      </c>
      <c r="W81" s="504">
        <f t="shared" si="6"/>
        <v>0</v>
      </c>
      <c r="X81" s="504">
        <f t="shared" si="6"/>
        <v>3</v>
      </c>
    </row>
    <row r="82" spans="1:24" s="503" customFormat="1" ht="35.25" customHeight="1" outlineLevel="1" x14ac:dyDescent="0.5">
      <c r="A82" s="481"/>
      <c r="B82" s="481"/>
      <c r="C82" s="505" t="s">
        <v>710</v>
      </c>
      <c r="D82" s="506">
        <f>VLOOKUP(C74,overview_of_services!$B$2:$I$88,8,FALSE)</f>
        <v>0</v>
      </c>
      <c r="E82" s="507"/>
      <c r="F82" s="499"/>
      <c r="G82" s="507"/>
      <c r="H82" s="507"/>
      <c r="I82" s="499"/>
      <c r="J82" s="499"/>
      <c r="K82" s="499"/>
      <c r="L82" s="500" t="s">
        <v>721</v>
      </c>
      <c r="M82" s="500" t="s">
        <v>721</v>
      </c>
      <c r="N82" s="501" t="s">
        <v>721</v>
      </c>
      <c r="O82" s="529" t="s">
        <v>721</v>
      </c>
      <c r="P82" s="504"/>
      <c r="R82" s="504">
        <f t="shared" si="6"/>
        <v>0</v>
      </c>
      <c r="S82" s="504">
        <f t="shared" si="6"/>
        <v>0</v>
      </c>
      <c r="T82" s="504">
        <f t="shared" si="6"/>
        <v>0</v>
      </c>
      <c r="U82" s="504">
        <f t="shared" si="6"/>
        <v>0</v>
      </c>
      <c r="V82" s="504">
        <f t="shared" si="6"/>
        <v>0</v>
      </c>
      <c r="W82" s="504">
        <f t="shared" si="6"/>
        <v>0</v>
      </c>
      <c r="X82" s="504">
        <f t="shared" si="6"/>
        <v>0</v>
      </c>
    </row>
    <row r="83" spans="1:24" s="503" customFormat="1" ht="6" customHeight="1" outlineLevel="2" thickBot="1" x14ac:dyDescent="0.4">
      <c r="A83" s="481"/>
      <c r="B83" s="481"/>
      <c r="C83" s="504"/>
      <c r="D83" s="504"/>
      <c r="E83" s="508"/>
      <c r="F83" s="508"/>
      <c r="G83" s="508"/>
      <c r="H83" s="508"/>
      <c r="I83" s="508"/>
      <c r="J83" s="508"/>
      <c r="K83" s="508"/>
      <c r="L83" s="504"/>
      <c r="M83" s="504"/>
      <c r="N83" s="504"/>
      <c r="O83" s="504"/>
      <c r="P83" s="504"/>
    </row>
    <row r="84" spans="1:24" s="503" customFormat="1" ht="30.75" customHeight="1" outlineLevel="2" thickBot="1" x14ac:dyDescent="0.4">
      <c r="A84" s="481"/>
      <c r="B84" s="481"/>
      <c r="C84" s="509"/>
      <c r="D84" s="509" t="s">
        <v>712</v>
      </c>
      <c r="E84" s="511" t="s">
        <v>729</v>
      </c>
      <c r="F84" s="511" t="s">
        <v>729</v>
      </c>
      <c r="G84" s="511" t="s">
        <v>729</v>
      </c>
      <c r="H84" s="511" t="s">
        <v>729</v>
      </c>
      <c r="I84" s="511" t="s">
        <v>729</v>
      </c>
      <c r="J84" s="511" t="s">
        <v>729</v>
      </c>
      <c r="K84" s="511" t="s">
        <v>729</v>
      </c>
      <c r="L84" s="511" t="s">
        <v>729</v>
      </c>
      <c r="M84" s="511" t="s">
        <v>729</v>
      </c>
      <c r="N84" s="513" t="s">
        <v>806</v>
      </c>
      <c r="O84" s="513"/>
      <c r="P84" s="504"/>
    </row>
    <row r="85" spans="1:24" s="503" customFormat="1" ht="30.75" customHeight="1" outlineLevel="2" thickBot="1" x14ac:dyDescent="0.4">
      <c r="A85" s="481"/>
      <c r="B85" s="481"/>
      <c r="C85" s="509"/>
      <c r="D85" s="509" t="s">
        <v>714</v>
      </c>
      <c r="E85" s="510"/>
      <c r="F85" s="512"/>
      <c r="G85" s="511"/>
      <c r="H85" s="511"/>
      <c r="I85" s="511"/>
      <c r="J85" s="511"/>
      <c r="K85" s="511"/>
      <c r="L85" s="517"/>
      <c r="M85" s="518"/>
      <c r="N85" s="513"/>
      <c r="O85" s="513"/>
      <c r="P85" s="504"/>
    </row>
    <row r="86" spans="1:24" ht="20.25" customHeight="1" outlineLevel="1" thickBot="1" x14ac:dyDescent="0.4">
      <c r="C86" s="481"/>
      <c r="D86" s="481"/>
      <c r="E86" s="481"/>
      <c r="F86" s="481"/>
      <c r="G86" s="482"/>
      <c r="H86" s="482"/>
      <c r="I86" s="482"/>
      <c r="J86" s="482"/>
      <c r="K86" s="482"/>
      <c r="L86" s="482"/>
      <c r="M86" s="482"/>
      <c r="N86" s="482"/>
      <c r="O86" s="481"/>
      <c r="P86" s="481"/>
    </row>
    <row r="87" spans="1:24" ht="17.25" customHeight="1" thickBot="1" x14ac:dyDescent="0.4">
      <c r="C87" s="483" t="s">
        <v>677</v>
      </c>
      <c r="D87" s="484" t="s">
        <v>678</v>
      </c>
      <c r="E87" s="481"/>
      <c r="F87" s="481"/>
      <c r="G87" s="482"/>
      <c r="H87" s="482"/>
      <c r="I87" s="482"/>
      <c r="J87" s="482"/>
      <c r="K87" s="482"/>
      <c r="L87" s="482"/>
      <c r="M87" s="482"/>
      <c r="N87" s="482"/>
      <c r="O87" s="481"/>
      <c r="P87" s="481"/>
    </row>
    <row r="88" spans="1:24" s="492" customFormat="1" ht="36.75" customHeight="1" thickBot="1" x14ac:dyDescent="0.7">
      <c r="A88" s="481"/>
      <c r="B88" s="486" t="s">
        <v>679</v>
      </c>
      <c r="C88" s="487" t="s">
        <v>504</v>
      </c>
      <c r="D88" s="514" t="str">
        <f>VLOOKUP(C88,overview_of_services!$B$2:$I$88,3,FALSE)</f>
        <v>Reporting information regarding predicted energy consumption</v>
      </c>
      <c r="E88" s="489"/>
      <c r="F88" s="490" t="s">
        <v>680</v>
      </c>
      <c r="G88" s="578" t="str">
        <f>VLOOKUP(C88,overview_of_services!$B$2:$I$88,2,FALSE)</f>
        <v xml:space="preserve">Feedback - Reporting information </v>
      </c>
      <c r="H88" s="578"/>
      <c r="I88" s="490"/>
      <c r="J88" s="491"/>
      <c r="K88" s="491"/>
      <c r="L88" s="491"/>
      <c r="M88" s="491"/>
      <c r="N88" s="491"/>
      <c r="R88" s="492" t="s">
        <v>681</v>
      </c>
      <c r="S88" s="492">
        <f>ROW()</f>
        <v>88</v>
      </c>
    </row>
    <row r="89" spans="1:24" ht="5.25" customHeight="1" x14ac:dyDescent="0.35">
      <c r="C89" s="493"/>
      <c r="D89" s="493"/>
      <c r="E89" s="493"/>
      <c r="F89" s="493"/>
      <c r="G89" s="493"/>
      <c r="H89" s="493"/>
      <c r="I89" s="493"/>
      <c r="J89" s="493"/>
      <c r="K89" s="493"/>
      <c r="L89" s="493"/>
      <c r="M89" s="493"/>
      <c r="N89" s="493"/>
      <c r="O89" s="493"/>
      <c r="P89" s="481"/>
    </row>
    <row r="90" spans="1:24" ht="20.25" customHeight="1" outlineLevel="1" x14ac:dyDescent="0.35">
      <c r="C90" s="575" t="s">
        <v>682</v>
      </c>
      <c r="D90" s="575"/>
      <c r="E90" s="577" t="s">
        <v>683</v>
      </c>
      <c r="F90" s="577"/>
      <c r="G90" s="577"/>
      <c r="H90" s="577"/>
      <c r="I90" s="577"/>
      <c r="J90" s="577"/>
      <c r="K90" s="577"/>
      <c r="L90" s="573" t="s">
        <v>684</v>
      </c>
      <c r="M90" s="574"/>
      <c r="N90" s="569" t="s">
        <v>685</v>
      </c>
      <c r="O90" s="571" t="s">
        <v>686</v>
      </c>
      <c r="P90" s="481"/>
    </row>
    <row r="91" spans="1:24" ht="36.75" customHeight="1" outlineLevel="1" thickBot="1" x14ac:dyDescent="0.4">
      <c r="C91" s="576"/>
      <c r="D91" s="576"/>
      <c r="E91" s="495" t="s">
        <v>687</v>
      </c>
      <c r="F91" s="495" t="s">
        <v>688</v>
      </c>
      <c r="G91" s="495" t="s">
        <v>689</v>
      </c>
      <c r="H91" s="495" t="s">
        <v>690</v>
      </c>
      <c r="I91" s="495" t="s">
        <v>616</v>
      </c>
      <c r="J91" s="495" t="s">
        <v>691</v>
      </c>
      <c r="K91" s="495" t="s">
        <v>692</v>
      </c>
      <c r="L91" s="496" t="s">
        <v>693</v>
      </c>
      <c r="M91" s="496" t="s">
        <v>694</v>
      </c>
      <c r="N91" s="570"/>
      <c r="O91" s="572"/>
      <c r="P91" s="481"/>
    </row>
    <row r="92" spans="1:24" s="503" customFormat="1" ht="35.25" customHeight="1" outlineLevel="1" thickTop="1" x14ac:dyDescent="0.5">
      <c r="A92" s="481"/>
      <c r="B92" s="481"/>
      <c r="C92" s="497" t="s">
        <v>695</v>
      </c>
      <c r="D92" s="498" t="str">
        <f>VLOOKUP(C88,overview_of_services!$B$2:$I$88,4,FALSE)</f>
        <v>None</v>
      </c>
      <c r="E92" s="499">
        <v>0</v>
      </c>
      <c r="F92" s="499">
        <v>0</v>
      </c>
      <c r="G92" s="499">
        <v>0</v>
      </c>
      <c r="H92" s="499">
        <v>0</v>
      </c>
      <c r="I92" s="499">
        <v>0</v>
      </c>
      <c r="J92" s="499">
        <v>0</v>
      </c>
      <c r="K92" s="499">
        <v>0</v>
      </c>
      <c r="L92" s="530" t="s">
        <v>696</v>
      </c>
      <c r="M92" s="530" t="s">
        <v>696</v>
      </c>
      <c r="N92" s="531">
        <v>0</v>
      </c>
      <c r="O92" s="532" t="s">
        <v>721</v>
      </c>
      <c r="P92" s="504"/>
      <c r="R92" s="504">
        <f t="shared" ref="R92:X96" si="7">IF(E92=0,0,(IF(E92="+",1,(IF(E92="++",2,(IF(E92="+++",3,(IF(E92="++++",4,(IF(E92="-",-1,(IF(E92="--",-2,(IF(E92="---",-3,(IF(E92="----",-4,"NA")))))))))))))))))</f>
        <v>0</v>
      </c>
      <c r="S92" s="504">
        <f t="shared" si="7"/>
        <v>0</v>
      </c>
      <c r="T92" s="504">
        <f t="shared" si="7"/>
        <v>0</v>
      </c>
      <c r="U92" s="504">
        <f t="shared" si="7"/>
        <v>0</v>
      </c>
      <c r="V92" s="504">
        <f t="shared" si="7"/>
        <v>0</v>
      </c>
      <c r="W92" s="504">
        <f t="shared" si="7"/>
        <v>0</v>
      </c>
      <c r="X92" s="504">
        <f t="shared" si="7"/>
        <v>0</v>
      </c>
    </row>
    <row r="93" spans="1:24" s="503" customFormat="1" ht="35.25" customHeight="1" outlineLevel="1" x14ac:dyDescent="0.5">
      <c r="A93" s="481"/>
      <c r="B93" s="481"/>
      <c r="C93" s="505" t="s">
        <v>699</v>
      </c>
      <c r="D93" s="506" t="str">
        <f>VLOOKUP(C88,overview_of_services!$B$2:$I$88,5,FALSE)</f>
        <v>Indication of actual values only (e.g. temperatures, meter values)</v>
      </c>
      <c r="E93" s="499">
        <v>0</v>
      </c>
      <c r="F93" s="499">
        <v>0</v>
      </c>
      <c r="G93" s="499">
        <v>0</v>
      </c>
      <c r="H93" s="499">
        <v>0</v>
      </c>
      <c r="I93" s="499">
        <v>0</v>
      </c>
      <c r="J93" s="499">
        <v>0</v>
      </c>
      <c r="K93" s="499" t="s">
        <v>700</v>
      </c>
      <c r="L93" s="530" t="s">
        <v>700</v>
      </c>
      <c r="M93" s="530" t="s">
        <v>700</v>
      </c>
      <c r="N93" s="531" t="s">
        <v>809</v>
      </c>
      <c r="O93" s="532" t="s">
        <v>721</v>
      </c>
      <c r="P93" s="504"/>
      <c r="R93" s="504">
        <f t="shared" si="7"/>
        <v>0</v>
      </c>
      <c r="S93" s="504">
        <f t="shared" si="7"/>
        <v>0</v>
      </c>
      <c r="T93" s="504">
        <f t="shared" si="7"/>
        <v>0</v>
      </c>
      <c r="U93" s="504">
        <f t="shared" si="7"/>
        <v>0</v>
      </c>
      <c r="V93" s="504">
        <f t="shared" si="7"/>
        <v>0</v>
      </c>
      <c r="W93" s="504">
        <f t="shared" si="7"/>
        <v>0</v>
      </c>
      <c r="X93" s="504">
        <f t="shared" si="7"/>
        <v>1</v>
      </c>
    </row>
    <row r="94" spans="1:24" s="503" customFormat="1" ht="35.25" customHeight="1" outlineLevel="1" x14ac:dyDescent="0.5">
      <c r="A94" s="481"/>
      <c r="B94" s="481"/>
      <c r="C94" s="505" t="s">
        <v>703</v>
      </c>
      <c r="D94" s="506" t="str">
        <f>VLOOKUP(C88,overview_of_services!$B$2:$I$88,6,FALSE)</f>
        <v>Trending functions and consumption determination</v>
      </c>
      <c r="E94" s="499" t="s">
        <v>700</v>
      </c>
      <c r="F94" s="499">
        <v>0</v>
      </c>
      <c r="G94" s="499">
        <v>0</v>
      </c>
      <c r="H94" s="499">
        <v>0</v>
      </c>
      <c r="I94" s="499">
        <v>0</v>
      </c>
      <c r="J94" s="499">
        <v>0</v>
      </c>
      <c r="K94" s="499" t="s">
        <v>704</v>
      </c>
      <c r="L94" s="530" t="s">
        <v>700</v>
      </c>
      <c r="M94" s="530" t="s">
        <v>700</v>
      </c>
      <c r="N94" s="531" t="s">
        <v>809</v>
      </c>
      <c r="O94" s="532" t="s">
        <v>721</v>
      </c>
      <c r="P94" s="504"/>
      <c r="R94" s="504">
        <f t="shared" si="7"/>
        <v>1</v>
      </c>
      <c r="S94" s="504">
        <f t="shared" si="7"/>
        <v>0</v>
      </c>
      <c r="T94" s="504">
        <f t="shared" si="7"/>
        <v>0</v>
      </c>
      <c r="U94" s="504">
        <f t="shared" si="7"/>
        <v>0</v>
      </c>
      <c r="V94" s="504">
        <f t="shared" si="7"/>
        <v>0</v>
      </c>
      <c r="W94" s="504">
        <f t="shared" si="7"/>
        <v>0</v>
      </c>
      <c r="X94" s="504">
        <f t="shared" si="7"/>
        <v>2</v>
      </c>
    </row>
    <row r="95" spans="1:24" s="503" customFormat="1" ht="35.25" customHeight="1" outlineLevel="1" x14ac:dyDescent="0.5">
      <c r="A95" s="481"/>
      <c r="B95" s="481"/>
      <c r="C95" s="505" t="s">
        <v>706</v>
      </c>
      <c r="D95" s="506" t="str">
        <f>VLOOKUP(C88,overview_of_services!$B$2:$I$88,7,FALSE)</f>
        <v>Analysing, performance evaluation, benchmarking</v>
      </c>
      <c r="E95" s="499" t="s">
        <v>700</v>
      </c>
      <c r="F95" s="499">
        <v>0</v>
      </c>
      <c r="G95" s="499">
        <v>0</v>
      </c>
      <c r="H95" s="499">
        <v>0</v>
      </c>
      <c r="I95" s="499">
        <v>0</v>
      </c>
      <c r="J95" s="499">
        <v>0</v>
      </c>
      <c r="K95" s="499" t="s">
        <v>707</v>
      </c>
      <c r="L95" s="530">
        <v>0</v>
      </c>
      <c r="M95" s="530">
        <v>0</v>
      </c>
      <c r="N95" s="531" t="s">
        <v>809</v>
      </c>
      <c r="O95" s="532" t="s">
        <v>721</v>
      </c>
      <c r="P95" s="504"/>
      <c r="R95" s="504">
        <f t="shared" si="7"/>
        <v>1</v>
      </c>
      <c r="S95" s="504">
        <f t="shared" si="7"/>
        <v>0</v>
      </c>
      <c r="T95" s="504">
        <f t="shared" si="7"/>
        <v>0</v>
      </c>
      <c r="U95" s="504">
        <f t="shared" si="7"/>
        <v>0</v>
      </c>
      <c r="V95" s="504">
        <f t="shared" si="7"/>
        <v>0</v>
      </c>
      <c r="W95" s="504">
        <f t="shared" si="7"/>
        <v>0</v>
      </c>
      <c r="X95" s="504">
        <f t="shared" si="7"/>
        <v>3</v>
      </c>
    </row>
    <row r="96" spans="1:24" s="503" customFormat="1" ht="35.25" customHeight="1" outlineLevel="1" thickBot="1" x14ac:dyDescent="0.55000000000000004">
      <c r="A96" s="481"/>
      <c r="B96" s="481"/>
      <c r="C96" s="505" t="s">
        <v>710</v>
      </c>
      <c r="D96" s="506">
        <f>VLOOKUP(C88,overview_of_services!$B$2:$I$88,8,FALSE)</f>
        <v>0</v>
      </c>
      <c r="E96" s="507"/>
      <c r="F96" s="499"/>
      <c r="G96" s="507"/>
      <c r="H96" s="507"/>
      <c r="I96" s="499"/>
      <c r="J96" s="499"/>
      <c r="K96" s="499"/>
      <c r="L96" s="500" t="s">
        <v>721</v>
      </c>
      <c r="M96" s="500" t="s">
        <v>721</v>
      </c>
      <c r="N96" s="501" t="s">
        <v>721</v>
      </c>
      <c r="O96" s="529" t="s">
        <v>721</v>
      </c>
      <c r="P96" s="504"/>
      <c r="R96" s="504">
        <f t="shared" si="7"/>
        <v>0</v>
      </c>
      <c r="S96" s="504">
        <f t="shared" si="7"/>
        <v>0</v>
      </c>
      <c r="T96" s="504">
        <f t="shared" si="7"/>
        <v>0</v>
      </c>
      <c r="U96" s="504">
        <f t="shared" si="7"/>
        <v>0</v>
      </c>
      <c r="V96" s="504">
        <f t="shared" si="7"/>
        <v>0</v>
      </c>
      <c r="W96" s="504">
        <f t="shared" si="7"/>
        <v>0</v>
      </c>
      <c r="X96" s="504">
        <f t="shared" si="7"/>
        <v>0</v>
      </c>
    </row>
    <row r="97" spans="1:24" s="503" customFormat="1" ht="6" customHeight="1" outlineLevel="2" thickBot="1" x14ac:dyDescent="0.4">
      <c r="A97" s="481"/>
      <c r="B97" s="481"/>
      <c r="C97" s="504"/>
      <c r="D97" s="504"/>
      <c r="E97" s="508"/>
      <c r="F97" s="508"/>
      <c r="G97" s="508"/>
      <c r="H97" s="508"/>
      <c r="I97" s="508"/>
      <c r="J97" s="508"/>
      <c r="K97" s="508"/>
      <c r="L97" s="511"/>
      <c r="M97" s="504"/>
      <c r="N97" s="504"/>
      <c r="O97" s="504"/>
      <c r="P97" s="504"/>
    </row>
    <row r="98" spans="1:24" s="503" customFormat="1" ht="30.75" customHeight="1" outlineLevel="2" thickBot="1" x14ac:dyDescent="0.4">
      <c r="A98" s="481"/>
      <c r="B98" s="481"/>
      <c r="C98" s="509"/>
      <c r="D98" s="509" t="s">
        <v>712</v>
      </c>
      <c r="E98" s="511" t="s">
        <v>729</v>
      </c>
      <c r="F98" s="511" t="s">
        <v>729</v>
      </c>
      <c r="G98" s="511" t="s">
        <v>729</v>
      </c>
      <c r="H98" s="511" t="s">
        <v>729</v>
      </c>
      <c r="I98" s="511" t="s">
        <v>729</v>
      </c>
      <c r="J98" s="511" t="s">
        <v>729</v>
      </c>
      <c r="K98" s="511" t="s">
        <v>729</v>
      </c>
      <c r="L98" s="511" t="s">
        <v>729</v>
      </c>
      <c r="M98" s="511" t="s">
        <v>729</v>
      </c>
      <c r="N98" s="511" t="s">
        <v>729</v>
      </c>
      <c r="O98" s="513"/>
      <c r="P98" s="504"/>
    </row>
    <row r="99" spans="1:24" s="503" customFormat="1" ht="30.75" customHeight="1" outlineLevel="2" thickBot="1" x14ac:dyDescent="0.4">
      <c r="A99" s="481"/>
      <c r="B99" s="481"/>
      <c r="C99" s="509"/>
      <c r="D99" s="509" t="s">
        <v>714</v>
      </c>
      <c r="E99" s="510"/>
      <c r="F99" s="512"/>
      <c r="G99" s="511"/>
      <c r="H99" s="511"/>
      <c r="I99" s="511"/>
      <c r="J99" s="511"/>
      <c r="K99" s="511"/>
      <c r="L99" s="517"/>
      <c r="M99" s="518"/>
      <c r="N99" s="513"/>
      <c r="O99" s="513"/>
      <c r="P99" s="504"/>
    </row>
    <row r="100" spans="1:24" ht="20.25" customHeight="1" outlineLevel="1" thickBot="1" x14ac:dyDescent="0.4">
      <c r="C100" s="481"/>
      <c r="D100" s="481"/>
      <c r="E100" s="481"/>
      <c r="F100" s="481"/>
      <c r="G100" s="482"/>
      <c r="H100" s="482"/>
      <c r="I100" s="482"/>
      <c r="J100" s="482"/>
      <c r="K100" s="482"/>
      <c r="L100" s="482"/>
      <c r="M100" s="482"/>
      <c r="N100" s="482"/>
      <c r="O100" s="481"/>
      <c r="P100" s="481"/>
    </row>
    <row r="101" spans="1:24" ht="17.25" customHeight="1" thickBot="1" x14ac:dyDescent="0.4">
      <c r="C101" s="483" t="s">
        <v>677</v>
      </c>
      <c r="D101" s="484" t="s">
        <v>678</v>
      </c>
      <c r="E101" s="481"/>
      <c r="F101" s="481"/>
      <c r="G101" s="482"/>
      <c r="H101" s="482"/>
      <c r="I101" s="482"/>
      <c r="J101" s="482"/>
      <c r="K101" s="482"/>
      <c r="L101" s="482"/>
      <c r="M101" s="482"/>
      <c r="N101" s="482"/>
      <c r="O101" s="481"/>
      <c r="P101" s="481"/>
    </row>
    <row r="102" spans="1:24" s="492" customFormat="1" ht="36.75" customHeight="1" thickBot="1" x14ac:dyDescent="0.7">
      <c r="A102" s="481"/>
      <c r="B102" s="486" t="s">
        <v>679</v>
      </c>
      <c r="C102" s="487" t="s">
        <v>506</v>
      </c>
      <c r="D102" s="514" t="str">
        <f>VLOOKUP(C102,overview_of_services!$B$2:$I$88,3,FALSE)</f>
        <v>Occupancy detection: connected services</v>
      </c>
      <c r="E102" s="489"/>
      <c r="F102" s="490" t="s">
        <v>680</v>
      </c>
      <c r="G102" s="578" t="str">
        <f>VLOOKUP(C102,overview_of_services!$B$2:$I$88,2,FALSE)</f>
        <v>TBS interaction control</v>
      </c>
      <c r="H102" s="578"/>
      <c r="I102" s="490"/>
      <c r="J102" s="491"/>
      <c r="K102" s="491"/>
      <c r="L102" s="491"/>
      <c r="M102" s="491"/>
      <c r="N102" s="491"/>
      <c r="R102" s="492" t="s">
        <v>681</v>
      </c>
      <c r="S102" s="492">
        <f>ROW()</f>
        <v>102</v>
      </c>
    </row>
    <row r="103" spans="1:24" ht="5.25" customHeight="1" x14ac:dyDescent="0.35">
      <c r="C103" s="493"/>
      <c r="D103" s="493"/>
      <c r="E103" s="493"/>
      <c r="F103" s="493"/>
      <c r="G103" s="493"/>
      <c r="H103" s="493"/>
      <c r="I103" s="493"/>
      <c r="J103" s="493"/>
      <c r="K103" s="493"/>
      <c r="L103" s="493"/>
      <c r="M103" s="493"/>
      <c r="N103" s="493"/>
      <c r="O103" s="493"/>
      <c r="P103" s="481"/>
    </row>
    <row r="104" spans="1:24" ht="20.25" customHeight="1" outlineLevel="1" x14ac:dyDescent="0.35">
      <c r="C104" s="575" t="s">
        <v>682</v>
      </c>
      <c r="D104" s="575"/>
      <c r="E104" s="577" t="s">
        <v>683</v>
      </c>
      <c r="F104" s="577"/>
      <c r="G104" s="577"/>
      <c r="H104" s="577"/>
      <c r="I104" s="577"/>
      <c r="J104" s="577"/>
      <c r="K104" s="577"/>
      <c r="L104" s="573" t="s">
        <v>684</v>
      </c>
      <c r="M104" s="574"/>
      <c r="N104" s="569" t="s">
        <v>685</v>
      </c>
      <c r="O104" s="571" t="s">
        <v>686</v>
      </c>
      <c r="P104" s="481"/>
    </row>
    <row r="105" spans="1:24" ht="36.75" customHeight="1" outlineLevel="1" thickBot="1" x14ac:dyDescent="0.4">
      <c r="C105" s="576"/>
      <c r="D105" s="576"/>
      <c r="E105" s="495" t="s">
        <v>687</v>
      </c>
      <c r="F105" s="495" t="s">
        <v>688</v>
      </c>
      <c r="G105" s="495" t="s">
        <v>689</v>
      </c>
      <c r="H105" s="495" t="s">
        <v>690</v>
      </c>
      <c r="I105" s="495" t="s">
        <v>616</v>
      </c>
      <c r="J105" s="495" t="s">
        <v>691</v>
      </c>
      <c r="K105" s="495" t="s">
        <v>692</v>
      </c>
      <c r="L105" s="496" t="s">
        <v>693</v>
      </c>
      <c r="M105" s="496" t="s">
        <v>694</v>
      </c>
      <c r="N105" s="570"/>
      <c r="O105" s="572"/>
      <c r="P105" s="481"/>
    </row>
    <row r="106" spans="1:24" s="503" customFormat="1" ht="35.25" customHeight="1" outlineLevel="1" thickTop="1" x14ac:dyDescent="0.5">
      <c r="A106" s="481"/>
      <c r="B106" s="481"/>
      <c r="C106" s="497" t="s">
        <v>695</v>
      </c>
      <c r="D106" s="498" t="str">
        <f>VLOOKUP(C102,overview_of_services!$B$2:$I$88,4,FALSE)</f>
        <v>None</v>
      </c>
      <c r="E106" s="499">
        <v>0</v>
      </c>
      <c r="F106" s="499">
        <v>0</v>
      </c>
      <c r="G106" s="499">
        <v>0</v>
      </c>
      <c r="H106" s="499">
        <v>0</v>
      </c>
      <c r="I106" s="499">
        <v>0</v>
      </c>
      <c r="J106" s="499">
        <v>0</v>
      </c>
      <c r="K106" s="499">
        <v>0</v>
      </c>
      <c r="L106" s="530" t="s">
        <v>696</v>
      </c>
      <c r="M106" s="530" t="s">
        <v>696</v>
      </c>
      <c r="N106" s="531">
        <v>0</v>
      </c>
      <c r="O106" s="532" t="s">
        <v>721</v>
      </c>
      <c r="P106" s="504"/>
      <c r="R106" s="504">
        <f t="shared" ref="R106:X110" si="8">IF(E106=0,0,(IF(E106="+",1,(IF(E106="++",2,(IF(E106="+++",3,(IF(E106="++++",4,(IF(E106="-",-1,(IF(E106="--",-2,(IF(E106="---",-3,(IF(E106="----",-4,"NA")))))))))))))))))</f>
        <v>0</v>
      </c>
      <c r="S106" s="504">
        <f t="shared" si="8"/>
        <v>0</v>
      </c>
      <c r="T106" s="504">
        <f t="shared" si="8"/>
        <v>0</v>
      </c>
      <c r="U106" s="504">
        <f t="shared" si="8"/>
        <v>0</v>
      </c>
      <c r="V106" s="504">
        <f t="shared" si="8"/>
        <v>0</v>
      </c>
      <c r="W106" s="504">
        <f t="shared" si="8"/>
        <v>0</v>
      </c>
      <c r="X106" s="504">
        <f t="shared" si="8"/>
        <v>0</v>
      </c>
    </row>
    <row r="107" spans="1:24" s="503" customFormat="1" ht="35.25" customHeight="1" outlineLevel="1" x14ac:dyDescent="0.5">
      <c r="A107" s="481"/>
      <c r="B107" s="481"/>
      <c r="C107" s="505" t="s">
        <v>699</v>
      </c>
      <c r="D107" s="506" t="str">
        <f>VLOOKUP(C102,overview_of_services!$B$2:$I$88,5,FALSE)</f>
        <v>For individual functions, e.g. lighting</v>
      </c>
      <c r="E107" s="499" t="s">
        <v>700</v>
      </c>
      <c r="F107" s="499">
        <v>0</v>
      </c>
      <c r="G107" s="499" t="s">
        <v>700</v>
      </c>
      <c r="H107" s="499" t="s">
        <v>700</v>
      </c>
      <c r="I107" s="499">
        <v>0</v>
      </c>
      <c r="J107" s="499" t="s">
        <v>700</v>
      </c>
      <c r="K107" s="499">
        <v>0</v>
      </c>
      <c r="L107" s="530">
        <v>0</v>
      </c>
      <c r="M107" s="530" t="s">
        <v>700</v>
      </c>
      <c r="N107" s="531" t="s">
        <v>796</v>
      </c>
      <c r="O107" s="532" t="s">
        <v>721</v>
      </c>
      <c r="P107" s="504"/>
      <c r="R107" s="504">
        <f t="shared" si="8"/>
        <v>1</v>
      </c>
      <c r="S107" s="504">
        <f t="shared" si="8"/>
        <v>0</v>
      </c>
      <c r="T107" s="504">
        <f t="shared" si="8"/>
        <v>1</v>
      </c>
      <c r="U107" s="504">
        <f t="shared" si="8"/>
        <v>1</v>
      </c>
      <c r="V107" s="504">
        <f t="shared" si="8"/>
        <v>0</v>
      </c>
      <c r="W107" s="504">
        <f t="shared" si="8"/>
        <v>1</v>
      </c>
      <c r="X107" s="504">
        <f t="shared" si="8"/>
        <v>0</v>
      </c>
    </row>
    <row r="108" spans="1:24" s="503" customFormat="1" ht="35.25" customHeight="1" outlineLevel="1" x14ac:dyDescent="0.5">
      <c r="A108" s="481"/>
      <c r="B108" s="481"/>
      <c r="C108" s="505" t="s">
        <v>703</v>
      </c>
      <c r="D108" s="506" t="str">
        <f>VLOOKUP(C102,overview_of_services!$B$2:$I$88,6,FALSE)</f>
        <v>Centralised detection which feeds in to several TBS such as lighting and heating</v>
      </c>
      <c r="E108" s="499" t="s">
        <v>700</v>
      </c>
      <c r="F108" s="499">
        <v>0</v>
      </c>
      <c r="G108" s="499" t="s">
        <v>700</v>
      </c>
      <c r="H108" s="499" t="s">
        <v>700</v>
      </c>
      <c r="I108" s="499">
        <v>0</v>
      </c>
      <c r="J108" s="499" t="s">
        <v>704</v>
      </c>
      <c r="K108" s="499">
        <v>0</v>
      </c>
      <c r="L108" s="530" t="s">
        <v>697</v>
      </c>
      <c r="M108" s="530">
        <v>0</v>
      </c>
      <c r="N108" s="531" t="s">
        <v>796</v>
      </c>
      <c r="O108" s="532" t="s">
        <v>721</v>
      </c>
      <c r="P108" s="504"/>
      <c r="R108" s="504">
        <f t="shared" si="8"/>
        <v>1</v>
      </c>
      <c r="S108" s="504">
        <f t="shared" si="8"/>
        <v>0</v>
      </c>
      <c r="T108" s="504">
        <f t="shared" si="8"/>
        <v>1</v>
      </c>
      <c r="U108" s="504">
        <f t="shared" si="8"/>
        <v>1</v>
      </c>
      <c r="V108" s="504">
        <f t="shared" si="8"/>
        <v>0</v>
      </c>
      <c r="W108" s="504">
        <f t="shared" si="8"/>
        <v>2</v>
      </c>
      <c r="X108" s="504">
        <f t="shared" si="8"/>
        <v>0</v>
      </c>
    </row>
    <row r="109" spans="1:24" s="503" customFormat="1" ht="35.25" customHeight="1" outlineLevel="1" x14ac:dyDescent="0.5">
      <c r="A109" s="481"/>
      <c r="B109" s="481"/>
      <c r="C109" s="505" t="s">
        <v>706</v>
      </c>
      <c r="D109" s="506">
        <f>VLOOKUP(C102,overview_of_services!$B$2:$I$88,7,FALSE)</f>
        <v>0</v>
      </c>
      <c r="E109" s="499"/>
      <c r="F109" s="499"/>
      <c r="G109" s="499"/>
      <c r="H109" s="499"/>
      <c r="I109" s="499"/>
      <c r="J109" s="499"/>
      <c r="K109" s="499"/>
      <c r="L109" s="500" t="s">
        <v>721</v>
      </c>
      <c r="M109" s="500" t="s">
        <v>721</v>
      </c>
      <c r="N109" s="501" t="s">
        <v>721</v>
      </c>
      <c r="O109" s="529" t="s">
        <v>721</v>
      </c>
      <c r="P109" s="504"/>
      <c r="R109" s="504">
        <f t="shared" si="8"/>
        <v>0</v>
      </c>
      <c r="S109" s="504">
        <f t="shared" si="8"/>
        <v>0</v>
      </c>
      <c r="T109" s="504">
        <f t="shared" si="8"/>
        <v>0</v>
      </c>
      <c r="U109" s="504">
        <f t="shared" si="8"/>
        <v>0</v>
      </c>
      <c r="V109" s="504">
        <f t="shared" si="8"/>
        <v>0</v>
      </c>
      <c r="W109" s="504">
        <f t="shared" si="8"/>
        <v>0</v>
      </c>
      <c r="X109" s="504">
        <f t="shared" si="8"/>
        <v>0</v>
      </c>
    </row>
    <row r="110" spans="1:24" s="503" customFormat="1" ht="35.25" customHeight="1" outlineLevel="1" x14ac:dyDescent="0.5">
      <c r="A110" s="481"/>
      <c r="B110" s="481"/>
      <c r="C110" s="505" t="s">
        <v>710</v>
      </c>
      <c r="D110" s="506">
        <f>VLOOKUP(C102,overview_of_services!$B$2:$I$88,8,FALSE)</f>
        <v>0</v>
      </c>
      <c r="E110" s="507"/>
      <c r="F110" s="499"/>
      <c r="G110" s="507"/>
      <c r="H110" s="507"/>
      <c r="I110" s="499"/>
      <c r="J110" s="499"/>
      <c r="K110" s="499"/>
      <c r="L110" s="500" t="s">
        <v>721</v>
      </c>
      <c r="M110" s="500" t="s">
        <v>721</v>
      </c>
      <c r="N110" s="501" t="s">
        <v>721</v>
      </c>
      <c r="O110" s="529" t="s">
        <v>721</v>
      </c>
      <c r="P110" s="504"/>
      <c r="R110" s="504">
        <f t="shared" si="8"/>
        <v>0</v>
      </c>
      <c r="S110" s="504">
        <f t="shared" si="8"/>
        <v>0</v>
      </c>
      <c r="T110" s="504">
        <f t="shared" si="8"/>
        <v>0</v>
      </c>
      <c r="U110" s="504">
        <f t="shared" si="8"/>
        <v>0</v>
      </c>
      <c r="V110" s="504">
        <f t="shared" si="8"/>
        <v>0</v>
      </c>
      <c r="W110" s="504">
        <f t="shared" si="8"/>
        <v>0</v>
      </c>
      <c r="X110" s="504">
        <f t="shared" si="8"/>
        <v>0</v>
      </c>
    </row>
    <row r="111" spans="1:24" s="503" customFormat="1" ht="6" customHeight="1" outlineLevel="2" thickBot="1" x14ac:dyDescent="0.4">
      <c r="A111" s="481"/>
      <c r="B111" s="481"/>
      <c r="C111" s="504"/>
      <c r="D111" s="504"/>
      <c r="E111" s="508"/>
      <c r="F111" s="508"/>
      <c r="G111" s="508"/>
      <c r="H111" s="508"/>
      <c r="I111" s="508"/>
      <c r="J111" s="508"/>
      <c r="K111" s="508"/>
      <c r="L111" s="504"/>
      <c r="M111" s="504"/>
      <c r="N111" s="504"/>
      <c r="O111" s="504"/>
      <c r="P111" s="504"/>
    </row>
    <row r="112" spans="1:24" s="503" customFormat="1" ht="30.75" customHeight="1" outlineLevel="2" thickBot="1" x14ac:dyDescent="0.4">
      <c r="A112" s="481"/>
      <c r="B112" s="481"/>
      <c r="C112" s="509"/>
      <c r="D112" s="509" t="s">
        <v>712</v>
      </c>
      <c r="E112" s="511" t="s">
        <v>729</v>
      </c>
      <c r="F112" s="511" t="s">
        <v>729</v>
      </c>
      <c r="G112" s="511" t="s">
        <v>729</v>
      </c>
      <c r="H112" s="511" t="s">
        <v>729</v>
      </c>
      <c r="I112" s="511" t="s">
        <v>729</v>
      </c>
      <c r="J112" s="511" t="s">
        <v>729</v>
      </c>
      <c r="K112" s="511" t="s">
        <v>729</v>
      </c>
      <c r="L112" s="511" t="s">
        <v>729</v>
      </c>
      <c r="M112" s="511" t="s">
        <v>729</v>
      </c>
      <c r="N112" s="511" t="s">
        <v>729</v>
      </c>
      <c r="O112" s="513"/>
      <c r="P112" s="504"/>
    </row>
    <row r="113" spans="1:24" s="503" customFormat="1" ht="30.75" customHeight="1" outlineLevel="2" thickBot="1" x14ac:dyDescent="0.4">
      <c r="A113" s="481"/>
      <c r="B113" s="481"/>
      <c r="C113" s="509"/>
      <c r="D113" s="509" t="s">
        <v>714</v>
      </c>
      <c r="E113" s="510"/>
      <c r="F113" s="512"/>
      <c r="G113" s="511"/>
      <c r="H113" s="511"/>
      <c r="I113" s="511"/>
      <c r="J113" s="511"/>
      <c r="K113" s="511"/>
      <c r="L113" s="517"/>
      <c r="M113" s="518"/>
      <c r="N113" s="513"/>
      <c r="O113" s="513"/>
      <c r="P113" s="504"/>
    </row>
    <row r="114" spans="1:24" ht="20.25" customHeight="1" outlineLevel="1" thickBot="1" x14ac:dyDescent="0.4">
      <c r="C114" s="481"/>
      <c r="D114" s="481"/>
      <c r="E114" s="481"/>
      <c r="F114" s="481"/>
      <c r="G114" s="482"/>
      <c r="H114" s="482"/>
      <c r="I114" s="482"/>
      <c r="J114" s="482"/>
      <c r="K114" s="482"/>
      <c r="L114" s="482"/>
      <c r="M114" s="482"/>
      <c r="N114" s="482"/>
      <c r="O114" s="481"/>
      <c r="P114" s="481"/>
    </row>
    <row r="115" spans="1:24" ht="17.25" customHeight="1" thickBot="1" x14ac:dyDescent="0.4">
      <c r="C115" s="483" t="s">
        <v>677</v>
      </c>
      <c r="D115" s="484" t="s">
        <v>678</v>
      </c>
      <c r="E115" s="481"/>
      <c r="F115" s="481"/>
      <c r="G115" s="482"/>
      <c r="H115" s="482"/>
      <c r="I115" s="482"/>
      <c r="J115" s="482"/>
      <c r="K115" s="482"/>
      <c r="L115" s="482"/>
      <c r="M115" s="482"/>
      <c r="N115" s="482"/>
      <c r="O115" s="481"/>
      <c r="P115" s="481"/>
    </row>
    <row r="116" spans="1:24" s="492" customFormat="1" ht="36.75" customHeight="1" thickBot="1" x14ac:dyDescent="0.7">
      <c r="A116" s="481"/>
      <c r="B116" s="486" t="s">
        <v>679</v>
      </c>
      <c r="C116" s="487" t="s">
        <v>511</v>
      </c>
      <c r="D116" s="514" t="str">
        <f>VLOOKUP(C116,overview_of_services!$B$2:$I$88,3,FALSE)</f>
        <v>Occupancy detection: space and activity</v>
      </c>
      <c r="E116" s="489"/>
      <c r="F116" s="490" t="s">
        <v>680</v>
      </c>
      <c r="G116" s="578" t="str">
        <f>VLOOKUP(C116,overview_of_services!$B$2:$I$88,2,FALSE)</f>
        <v>TBS interaction control</v>
      </c>
      <c r="H116" s="578"/>
      <c r="I116" s="490"/>
      <c r="J116" s="491"/>
      <c r="K116" s="491"/>
      <c r="L116" s="491"/>
      <c r="M116" s="491"/>
      <c r="N116" s="491"/>
      <c r="R116" s="492" t="s">
        <v>681</v>
      </c>
      <c r="S116" s="492">
        <f>ROW()</f>
        <v>116</v>
      </c>
    </row>
    <row r="117" spans="1:24" ht="5.25" customHeight="1" x14ac:dyDescent="0.35">
      <c r="C117" s="493"/>
      <c r="D117" s="493"/>
      <c r="E117" s="493"/>
      <c r="F117" s="493"/>
      <c r="G117" s="493"/>
      <c r="H117" s="493"/>
      <c r="I117" s="493"/>
      <c r="J117" s="493"/>
      <c r="K117" s="493"/>
      <c r="L117" s="493"/>
      <c r="M117" s="493"/>
      <c r="N117" s="493"/>
      <c r="O117" s="493"/>
      <c r="P117" s="481"/>
    </row>
    <row r="118" spans="1:24" ht="20.25" customHeight="1" outlineLevel="1" x14ac:dyDescent="0.35">
      <c r="C118" s="575" t="s">
        <v>682</v>
      </c>
      <c r="D118" s="575"/>
      <c r="E118" s="577" t="s">
        <v>683</v>
      </c>
      <c r="F118" s="577"/>
      <c r="G118" s="577"/>
      <c r="H118" s="577"/>
      <c r="I118" s="577"/>
      <c r="J118" s="577"/>
      <c r="K118" s="577"/>
      <c r="L118" s="573" t="s">
        <v>684</v>
      </c>
      <c r="M118" s="574"/>
      <c r="N118" s="569" t="s">
        <v>685</v>
      </c>
      <c r="O118" s="571" t="s">
        <v>686</v>
      </c>
      <c r="P118" s="481"/>
    </row>
    <row r="119" spans="1:24" ht="36.75" customHeight="1" outlineLevel="1" thickBot="1" x14ac:dyDescent="0.4">
      <c r="C119" s="576"/>
      <c r="D119" s="576"/>
      <c r="E119" s="495" t="s">
        <v>687</v>
      </c>
      <c r="F119" s="495" t="s">
        <v>688</v>
      </c>
      <c r="G119" s="495" t="s">
        <v>689</v>
      </c>
      <c r="H119" s="495" t="s">
        <v>690</v>
      </c>
      <c r="I119" s="495" t="s">
        <v>616</v>
      </c>
      <c r="J119" s="495" t="s">
        <v>691</v>
      </c>
      <c r="K119" s="495" t="s">
        <v>692</v>
      </c>
      <c r="L119" s="496" t="s">
        <v>693</v>
      </c>
      <c r="M119" s="496" t="s">
        <v>694</v>
      </c>
      <c r="N119" s="570"/>
      <c r="O119" s="572"/>
      <c r="P119" s="481"/>
    </row>
    <row r="120" spans="1:24" s="503" customFormat="1" ht="35.25" customHeight="1" outlineLevel="1" thickTop="1" x14ac:dyDescent="0.5">
      <c r="A120" s="481"/>
      <c r="B120" s="481"/>
      <c r="C120" s="497" t="s">
        <v>695</v>
      </c>
      <c r="D120" s="498" t="str">
        <f>VLOOKUP(C116,overview_of_services!$B$2:$I$88,4,FALSE)</f>
        <v>No occupancy detection present</v>
      </c>
      <c r="E120" s="499">
        <v>0</v>
      </c>
      <c r="F120" s="499">
        <v>0</v>
      </c>
      <c r="G120" s="499">
        <v>0</v>
      </c>
      <c r="H120" s="499">
        <v>0</v>
      </c>
      <c r="I120" s="499">
        <v>0</v>
      </c>
      <c r="J120" s="499">
        <v>0</v>
      </c>
      <c r="K120" s="499">
        <v>0</v>
      </c>
      <c r="L120" s="530" t="s">
        <v>696</v>
      </c>
      <c r="M120" s="530" t="s">
        <v>696</v>
      </c>
      <c r="N120" s="531">
        <v>0</v>
      </c>
      <c r="O120" s="532" t="s">
        <v>721</v>
      </c>
      <c r="P120" s="504"/>
      <c r="R120" s="504">
        <f t="shared" ref="R120:X124" si="9">IF(E120=0,0,(IF(E120="+",1,(IF(E120="++",2,(IF(E120="+++",3,(IF(E120="++++",4,(IF(E120="-",-1,(IF(E120="--",-2,(IF(E120="---",-3,(IF(E120="----",-4,"NA")))))))))))))))))</f>
        <v>0</v>
      </c>
      <c r="S120" s="504">
        <f t="shared" si="9"/>
        <v>0</v>
      </c>
      <c r="T120" s="504">
        <f t="shared" si="9"/>
        <v>0</v>
      </c>
      <c r="U120" s="504">
        <f t="shared" si="9"/>
        <v>0</v>
      </c>
      <c r="V120" s="504">
        <f t="shared" si="9"/>
        <v>0</v>
      </c>
      <c r="W120" s="504">
        <f t="shared" si="9"/>
        <v>0</v>
      </c>
      <c r="X120" s="504">
        <f t="shared" si="9"/>
        <v>0</v>
      </c>
    </row>
    <row r="121" spans="1:24" s="503" customFormat="1" ht="35.25" customHeight="1" outlineLevel="1" x14ac:dyDescent="0.5">
      <c r="A121" s="481"/>
      <c r="B121" s="481"/>
      <c r="C121" s="505" t="s">
        <v>699</v>
      </c>
      <c r="D121" s="506" t="str">
        <f>VLOOKUP(C116,overview_of_services!$B$2:$I$88,5,FALSE)</f>
        <v>Occupancy detection can determine presence in room</v>
      </c>
      <c r="E121" s="499" t="s">
        <v>700</v>
      </c>
      <c r="F121" s="499">
        <v>0</v>
      </c>
      <c r="G121" s="499">
        <v>0</v>
      </c>
      <c r="H121" s="499">
        <v>0</v>
      </c>
      <c r="I121" s="499">
        <v>0</v>
      </c>
      <c r="J121" s="499">
        <v>0</v>
      </c>
      <c r="K121" s="499">
        <v>0</v>
      </c>
      <c r="L121" s="530" t="s">
        <v>700</v>
      </c>
      <c r="M121" s="530" t="s">
        <v>704</v>
      </c>
      <c r="N121" s="531" t="s">
        <v>791</v>
      </c>
      <c r="O121" s="532" t="s">
        <v>721</v>
      </c>
      <c r="P121" s="504"/>
      <c r="R121" s="504">
        <f t="shared" si="9"/>
        <v>1</v>
      </c>
      <c r="S121" s="504">
        <f t="shared" si="9"/>
        <v>0</v>
      </c>
      <c r="T121" s="504">
        <f t="shared" si="9"/>
        <v>0</v>
      </c>
      <c r="U121" s="504">
        <f t="shared" si="9"/>
        <v>0</v>
      </c>
      <c r="V121" s="504">
        <f t="shared" si="9"/>
        <v>0</v>
      </c>
      <c r="W121" s="504">
        <f t="shared" si="9"/>
        <v>0</v>
      </c>
      <c r="X121" s="504">
        <f t="shared" si="9"/>
        <v>0</v>
      </c>
    </row>
    <row r="122" spans="1:24" s="503" customFormat="1" ht="35.25" customHeight="1" outlineLevel="1" x14ac:dyDescent="0.5">
      <c r="A122" s="481"/>
      <c r="B122" s="481"/>
      <c r="C122" s="505" t="s">
        <v>703</v>
      </c>
      <c r="D122" s="506" t="str">
        <f>VLOOKUP(C116,overview_of_services!$B$2:$I$88,6,FALSE)</f>
        <v>Occupancy detection can determine average number of people in space</v>
      </c>
      <c r="E122" s="499" t="s">
        <v>700</v>
      </c>
      <c r="F122" s="499">
        <v>0</v>
      </c>
      <c r="G122" s="499" t="s">
        <v>700</v>
      </c>
      <c r="H122" s="499">
        <v>0</v>
      </c>
      <c r="I122" s="499" t="s">
        <v>700</v>
      </c>
      <c r="J122" s="499">
        <v>0</v>
      </c>
      <c r="K122" s="499">
        <v>0</v>
      </c>
      <c r="L122" s="530" t="s">
        <v>700</v>
      </c>
      <c r="M122" s="530" t="s">
        <v>704</v>
      </c>
      <c r="N122" s="531" t="s">
        <v>791</v>
      </c>
      <c r="O122" s="532" t="s">
        <v>721</v>
      </c>
      <c r="P122" s="504"/>
      <c r="R122" s="504">
        <f t="shared" si="9"/>
        <v>1</v>
      </c>
      <c r="S122" s="504">
        <f t="shared" si="9"/>
        <v>0</v>
      </c>
      <c r="T122" s="504">
        <f t="shared" si="9"/>
        <v>1</v>
      </c>
      <c r="U122" s="504">
        <f t="shared" si="9"/>
        <v>0</v>
      </c>
      <c r="V122" s="504">
        <f t="shared" si="9"/>
        <v>1</v>
      </c>
      <c r="W122" s="504">
        <f t="shared" si="9"/>
        <v>0</v>
      </c>
      <c r="X122" s="504">
        <f t="shared" si="9"/>
        <v>0</v>
      </c>
    </row>
    <row r="123" spans="1:24" s="503" customFormat="1" ht="35.25" customHeight="1" outlineLevel="1" x14ac:dyDescent="0.5">
      <c r="A123" s="481"/>
      <c r="B123" s="481"/>
      <c r="C123" s="505" t="s">
        <v>706</v>
      </c>
      <c r="D123" s="506" t="str">
        <f>VLOOKUP(C116,overview_of_services!$B$2:$I$88,7,FALSE)</f>
        <v>Occupancy detection can determine the actual number of people in a space</v>
      </c>
      <c r="E123" s="499" t="s">
        <v>704</v>
      </c>
      <c r="F123" s="499">
        <v>0</v>
      </c>
      <c r="G123" s="499" t="s">
        <v>700</v>
      </c>
      <c r="H123" s="499">
        <v>0</v>
      </c>
      <c r="I123" s="499" t="s">
        <v>704</v>
      </c>
      <c r="J123" s="499">
        <v>0</v>
      </c>
      <c r="K123" s="499">
        <v>0</v>
      </c>
      <c r="L123" s="500" t="s">
        <v>721</v>
      </c>
      <c r="M123" s="500" t="s">
        <v>721</v>
      </c>
      <c r="N123" s="501" t="s">
        <v>721</v>
      </c>
      <c r="O123" s="529" t="s">
        <v>721</v>
      </c>
      <c r="P123" s="504"/>
      <c r="R123" s="504">
        <f t="shared" si="9"/>
        <v>2</v>
      </c>
      <c r="S123" s="504">
        <f t="shared" si="9"/>
        <v>0</v>
      </c>
      <c r="T123" s="504">
        <f t="shared" si="9"/>
        <v>1</v>
      </c>
      <c r="U123" s="504">
        <f t="shared" si="9"/>
        <v>0</v>
      </c>
      <c r="V123" s="504">
        <f t="shared" si="9"/>
        <v>2</v>
      </c>
      <c r="W123" s="504">
        <f t="shared" si="9"/>
        <v>0</v>
      </c>
      <c r="X123" s="504">
        <f t="shared" si="9"/>
        <v>0</v>
      </c>
    </row>
    <row r="124" spans="1:24" s="503" customFormat="1" ht="35.25" customHeight="1" outlineLevel="1" x14ac:dyDescent="0.5">
      <c r="A124" s="481"/>
      <c r="B124" s="481"/>
      <c r="C124" s="505" t="s">
        <v>710</v>
      </c>
      <c r="D124" s="506" t="str">
        <f>VLOOKUP(C116,overview_of_services!$B$2:$I$88,8,FALSE)</f>
        <v>Occupancy detection can determine position of people in space (e.g. behind desk)</v>
      </c>
      <c r="E124" s="499" t="s">
        <v>704</v>
      </c>
      <c r="F124" s="499">
        <v>0</v>
      </c>
      <c r="G124" s="499" t="s">
        <v>704</v>
      </c>
      <c r="H124" s="499">
        <v>0</v>
      </c>
      <c r="I124" s="499" t="s">
        <v>704</v>
      </c>
      <c r="J124" s="499">
        <v>0</v>
      </c>
      <c r="K124" s="499">
        <v>0</v>
      </c>
      <c r="L124" s="500" t="s">
        <v>721</v>
      </c>
      <c r="M124" s="500" t="s">
        <v>721</v>
      </c>
      <c r="N124" s="501" t="s">
        <v>721</v>
      </c>
      <c r="O124" s="529" t="s">
        <v>721</v>
      </c>
      <c r="P124" s="504"/>
      <c r="R124" s="504">
        <f t="shared" si="9"/>
        <v>2</v>
      </c>
      <c r="S124" s="504">
        <f t="shared" si="9"/>
        <v>0</v>
      </c>
      <c r="T124" s="504">
        <f t="shared" si="9"/>
        <v>2</v>
      </c>
      <c r="U124" s="504">
        <f t="shared" si="9"/>
        <v>0</v>
      </c>
      <c r="V124" s="504">
        <f t="shared" si="9"/>
        <v>2</v>
      </c>
      <c r="W124" s="504">
        <f t="shared" si="9"/>
        <v>0</v>
      </c>
      <c r="X124" s="504">
        <f t="shared" si="9"/>
        <v>0</v>
      </c>
    </row>
    <row r="125" spans="1:24" s="503" customFormat="1" ht="6" customHeight="1" outlineLevel="2" thickBot="1" x14ac:dyDescent="0.4">
      <c r="A125" s="481"/>
      <c r="B125" s="481"/>
      <c r="C125" s="504"/>
      <c r="D125" s="504"/>
      <c r="E125" s="535" t="s">
        <v>700</v>
      </c>
      <c r="F125" s="508"/>
      <c r="G125" s="508"/>
      <c r="H125" s="508"/>
      <c r="I125" s="508"/>
      <c r="J125" s="508"/>
      <c r="K125" s="508"/>
      <c r="L125" s="504"/>
      <c r="M125" s="504"/>
      <c r="N125" s="504"/>
      <c r="O125" s="504"/>
      <c r="P125" s="504"/>
    </row>
    <row r="126" spans="1:24" s="503" customFormat="1" ht="30.75" customHeight="1" outlineLevel="2" thickBot="1" x14ac:dyDescent="0.4">
      <c r="A126" s="481"/>
      <c r="B126" s="481"/>
      <c r="C126" s="509"/>
      <c r="D126" s="509" t="s">
        <v>712</v>
      </c>
      <c r="E126" s="511" t="s">
        <v>729</v>
      </c>
      <c r="F126" s="511" t="s">
        <v>729</v>
      </c>
      <c r="G126" s="511" t="s">
        <v>729</v>
      </c>
      <c r="H126" s="511" t="s">
        <v>729</v>
      </c>
      <c r="I126" s="511" t="s">
        <v>729</v>
      </c>
      <c r="J126" s="511" t="s">
        <v>729</v>
      </c>
      <c r="K126" s="511" t="s">
        <v>729</v>
      </c>
      <c r="L126" s="511" t="s">
        <v>729</v>
      </c>
      <c r="M126" s="511" t="s">
        <v>729</v>
      </c>
      <c r="N126" s="511" t="s">
        <v>729</v>
      </c>
      <c r="O126" s="513"/>
      <c r="P126" s="504"/>
    </row>
    <row r="127" spans="1:24" s="503" customFormat="1" ht="30.75" customHeight="1" outlineLevel="2" thickBot="1" x14ac:dyDescent="0.4">
      <c r="A127" s="481"/>
      <c r="B127" s="481"/>
      <c r="C127" s="509"/>
      <c r="D127" s="509" t="s">
        <v>714</v>
      </c>
      <c r="E127" s="510"/>
      <c r="F127" s="512"/>
      <c r="G127" s="511"/>
      <c r="H127" s="511"/>
      <c r="I127" s="511"/>
      <c r="J127" s="511"/>
      <c r="K127" s="511"/>
      <c r="L127" s="517"/>
      <c r="M127" s="518"/>
      <c r="N127" s="513"/>
      <c r="O127" s="513"/>
      <c r="P127" s="504"/>
    </row>
    <row r="128" spans="1:24" ht="20.25" customHeight="1" outlineLevel="1" thickBot="1" x14ac:dyDescent="0.4">
      <c r="C128" s="481"/>
      <c r="D128" s="481"/>
      <c r="E128" s="481"/>
      <c r="F128" s="481"/>
      <c r="G128" s="482"/>
      <c r="H128" s="482"/>
      <c r="I128" s="482"/>
      <c r="J128" s="482"/>
      <c r="K128" s="482"/>
      <c r="L128" s="482"/>
      <c r="M128" s="482"/>
      <c r="N128" s="482"/>
      <c r="O128" s="481"/>
      <c r="P128" s="481"/>
    </row>
    <row r="129" spans="1:24" ht="17.25" customHeight="1" thickBot="1" x14ac:dyDescent="0.4">
      <c r="C129" s="483" t="s">
        <v>677</v>
      </c>
      <c r="D129" s="484" t="s">
        <v>678</v>
      </c>
      <c r="E129" s="481"/>
      <c r="F129" s="481"/>
      <c r="G129" s="482"/>
      <c r="H129" s="482"/>
      <c r="I129" s="482"/>
      <c r="J129" s="482"/>
      <c r="K129" s="482"/>
      <c r="L129" s="482"/>
      <c r="M129" s="482"/>
      <c r="N129" s="482"/>
      <c r="O129" s="481"/>
      <c r="P129" s="481"/>
    </row>
    <row r="130" spans="1:24" s="492" customFormat="1" ht="36.75" customHeight="1" thickBot="1" x14ac:dyDescent="0.7">
      <c r="A130" s="481"/>
      <c r="B130" s="486" t="s">
        <v>679</v>
      </c>
      <c r="C130" s="487" t="s">
        <v>518</v>
      </c>
      <c r="D130" s="514" t="str">
        <f>VLOOKUP(C130,overview_of_services!$B$2:$I$88,3,FALSE)</f>
        <v>Remote surveillance of building behaviour</v>
      </c>
      <c r="E130" s="489"/>
      <c r="F130" s="490" t="s">
        <v>680</v>
      </c>
      <c r="G130" s="578" t="str">
        <f>VLOOKUP(C130,overview_of_services!$B$2:$I$88,2,FALSE)</f>
        <v>Central control of energy consumers</v>
      </c>
      <c r="H130" s="578"/>
      <c r="I130" s="490"/>
      <c r="J130" s="491"/>
      <c r="K130" s="491"/>
      <c r="L130" s="491"/>
      <c r="M130" s="491"/>
      <c r="N130" s="491"/>
      <c r="R130" s="492" t="s">
        <v>681</v>
      </c>
      <c r="S130" s="492">
        <f>ROW()</f>
        <v>130</v>
      </c>
    </row>
    <row r="131" spans="1:24" ht="5.25" customHeight="1" x14ac:dyDescent="0.35">
      <c r="C131" s="493"/>
      <c r="D131" s="493"/>
      <c r="E131" s="493"/>
      <c r="F131" s="493"/>
      <c r="G131" s="493"/>
      <c r="H131" s="493"/>
      <c r="I131" s="493"/>
      <c r="J131" s="493"/>
      <c r="K131" s="493"/>
      <c r="L131" s="493"/>
      <c r="M131" s="493"/>
      <c r="N131" s="493"/>
      <c r="O131" s="493"/>
      <c r="P131" s="481"/>
    </row>
    <row r="132" spans="1:24" ht="20.25" customHeight="1" outlineLevel="1" x14ac:dyDescent="0.35">
      <c r="C132" s="575" t="s">
        <v>682</v>
      </c>
      <c r="D132" s="575"/>
      <c r="E132" s="577" t="s">
        <v>683</v>
      </c>
      <c r="F132" s="577"/>
      <c r="G132" s="577"/>
      <c r="H132" s="577"/>
      <c r="I132" s="577"/>
      <c r="J132" s="577"/>
      <c r="K132" s="577"/>
      <c r="L132" s="573" t="s">
        <v>684</v>
      </c>
      <c r="M132" s="574"/>
      <c r="N132" s="569" t="s">
        <v>685</v>
      </c>
      <c r="O132" s="571" t="s">
        <v>686</v>
      </c>
      <c r="P132" s="481"/>
    </row>
    <row r="133" spans="1:24" ht="36.75" customHeight="1" outlineLevel="1" thickBot="1" x14ac:dyDescent="0.4">
      <c r="C133" s="576"/>
      <c r="D133" s="576"/>
      <c r="E133" s="495" t="s">
        <v>687</v>
      </c>
      <c r="F133" s="495" t="s">
        <v>688</v>
      </c>
      <c r="G133" s="495" t="s">
        <v>689</v>
      </c>
      <c r="H133" s="495" t="s">
        <v>690</v>
      </c>
      <c r="I133" s="495" t="s">
        <v>616</v>
      </c>
      <c r="J133" s="495" t="s">
        <v>691</v>
      </c>
      <c r="K133" s="495" t="s">
        <v>692</v>
      </c>
      <c r="L133" s="496" t="s">
        <v>693</v>
      </c>
      <c r="M133" s="496" t="s">
        <v>694</v>
      </c>
      <c r="N133" s="570"/>
      <c r="O133" s="572"/>
      <c r="P133" s="481"/>
    </row>
    <row r="134" spans="1:24" s="503" customFormat="1" ht="35.25" customHeight="1" outlineLevel="1" thickTop="1" x14ac:dyDescent="0.5">
      <c r="A134" s="481"/>
      <c r="B134" s="481"/>
      <c r="C134" s="497" t="s">
        <v>695</v>
      </c>
      <c r="D134" s="498" t="str">
        <f>VLOOKUP(C130,overview_of_services!$B$2:$I$88,4,FALSE)</f>
        <v>Not present</v>
      </c>
      <c r="E134" s="499">
        <v>0</v>
      </c>
      <c r="F134" s="499">
        <v>0</v>
      </c>
      <c r="G134" s="499">
        <v>0</v>
      </c>
      <c r="H134" s="499">
        <v>0</v>
      </c>
      <c r="I134" s="499">
        <v>0</v>
      </c>
      <c r="J134" s="499">
        <v>0</v>
      </c>
      <c r="K134" s="499">
        <v>0</v>
      </c>
      <c r="L134" s="530" t="s">
        <v>696</v>
      </c>
      <c r="M134" s="530" t="s">
        <v>696</v>
      </c>
      <c r="N134" s="531">
        <v>0</v>
      </c>
      <c r="O134" s="532" t="s">
        <v>721</v>
      </c>
      <c r="P134" s="504"/>
      <c r="R134" s="504">
        <f t="shared" ref="R134:X138" si="10">IF(E134=0,0,(IF(E134="+",1,(IF(E134="++",2,(IF(E134="+++",3,(IF(E134="++++",4,(IF(E134="-",-1,(IF(E134="--",-2,(IF(E134="---",-3,(IF(E134="----",-4,"NA")))))))))))))))))</f>
        <v>0</v>
      </c>
      <c r="S134" s="504">
        <f t="shared" si="10"/>
        <v>0</v>
      </c>
      <c r="T134" s="504">
        <f t="shared" si="10"/>
        <v>0</v>
      </c>
      <c r="U134" s="504">
        <f t="shared" si="10"/>
        <v>0</v>
      </c>
      <c r="V134" s="504">
        <f t="shared" si="10"/>
        <v>0</v>
      </c>
      <c r="W134" s="504">
        <f t="shared" si="10"/>
        <v>0</v>
      </c>
      <c r="X134" s="504">
        <f t="shared" si="10"/>
        <v>0</v>
      </c>
    </row>
    <row r="135" spans="1:24" s="503" customFormat="1" ht="35.25" customHeight="1" outlineLevel="1" x14ac:dyDescent="0.5">
      <c r="A135" s="481"/>
      <c r="B135" s="481"/>
      <c r="C135" s="505" t="s">
        <v>699</v>
      </c>
      <c r="D135" s="506" t="str">
        <f>VLOOKUP(C130,overview_of_services!$B$2:$I$88,5,FALSE)</f>
        <v>Remote control of main TBS</v>
      </c>
      <c r="E135" s="499" t="s">
        <v>700</v>
      </c>
      <c r="F135" s="499" t="s">
        <v>700</v>
      </c>
      <c r="G135" s="499">
        <v>0</v>
      </c>
      <c r="H135" s="499" t="s">
        <v>704</v>
      </c>
      <c r="I135" s="499">
        <v>0</v>
      </c>
      <c r="J135" s="499" t="s">
        <v>700</v>
      </c>
      <c r="K135" s="499">
        <v>0</v>
      </c>
      <c r="L135" s="530" t="s">
        <v>700</v>
      </c>
      <c r="M135" s="530" t="s">
        <v>697</v>
      </c>
      <c r="N135" s="531" t="s">
        <v>793</v>
      </c>
      <c r="O135" s="532" t="s">
        <v>721</v>
      </c>
      <c r="P135" s="504"/>
      <c r="R135" s="504">
        <f t="shared" si="10"/>
        <v>1</v>
      </c>
      <c r="S135" s="504">
        <f t="shared" si="10"/>
        <v>1</v>
      </c>
      <c r="T135" s="504">
        <f t="shared" si="10"/>
        <v>0</v>
      </c>
      <c r="U135" s="504">
        <f t="shared" si="10"/>
        <v>2</v>
      </c>
      <c r="V135" s="504">
        <f t="shared" si="10"/>
        <v>0</v>
      </c>
      <c r="W135" s="504">
        <f t="shared" si="10"/>
        <v>1</v>
      </c>
      <c r="X135" s="504">
        <f t="shared" si="10"/>
        <v>0</v>
      </c>
    </row>
    <row r="136" spans="1:24" s="503" customFormat="1" ht="35.25" customHeight="1" outlineLevel="1" x14ac:dyDescent="0.5">
      <c r="A136" s="481"/>
      <c r="B136" s="481"/>
      <c r="C136" s="505" t="s">
        <v>703</v>
      </c>
      <c r="D136" s="506" t="str">
        <f>VLOOKUP(C130,overview_of_services!$B$2:$I$88,6,FALSE)</f>
        <v>Remote control of main TBS with centralised occupancy detection</v>
      </c>
      <c r="E136" s="499" t="s">
        <v>704</v>
      </c>
      <c r="F136" s="499" t="s">
        <v>700</v>
      </c>
      <c r="G136" s="499">
        <v>0</v>
      </c>
      <c r="H136" s="499" t="s">
        <v>704</v>
      </c>
      <c r="I136" s="499">
        <v>0</v>
      </c>
      <c r="J136" s="499" t="s">
        <v>700</v>
      </c>
      <c r="K136" s="499">
        <v>0</v>
      </c>
      <c r="L136" s="530" t="s">
        <v>697</v>
      </c>
      <c r="M136" s="530">
        <v>0</v>
      </c>
      <c r="N136" s="531" t="s">
        <v>791</v>
      </c>
      <c r="O136" s="532" t="s">
        <v>721</v>
      </c>
      <c r="P136" s="504"/>
      <c r="R136" s="504">
        <f t="shared" si="10"/>
        <v>2</v>
      </c>
      <c r="S136" s="504">
        <f t="shared" si="10"/>
        <v>1</v>
      </c>
      <c r="T136" s="504">
        <f t="shared" si="10"/>
        <v>0</v>
      </c>
      <c r="U136" s="504">
        <f t="shared" si="10"/>
        <v>2</v>
      </c>
      <c r="V136" s="504">
        <f t="shared" si="10"/>
        <v>0</v>
      </c>
      <c r="W136" s="504">
        <f t="shared" si="10"/>
        <v>1</v>
      </c>
      <c r="X136" s="504">
        <f t="shared" si="10"/>
        <v>0</v>
      </c>
    </row>
    <row r="137" spans="1:24" s="503" customFormat="1" ht="35.25" customHeight="1" outlineLevel="1" x14ac:dyDescent="0.5">
      <c r="A137" s="481"/>
      <c r="B137" s="481"/>
      <c r="C137" s="505" t="s">
        <v>706</v>
      </c>
      <c r="D137" s="506" t="str">
        <f>VLOOKUP(C130,overview_of_services!$B$2:$I$88,7,FALSE)</f>
        <v>Remote control of main TBS with centralised occupancy detection, automatic non-occupancy default settings and user alerts</v>
      </c>
      <c r="E137" s="499" t="s">
        <v>707</v>
      </c>
      <c r="F137" s="499" t="s">
        <v>704</v>
      </c>
      <c r="G137" s="499">
        <v>0</v>
      </c>
      <c r="H137" s="499" t="s">
        <v>704</v>
      </c>
      <c r="I137" s="499">
        <v>0</v>
      </c>
      <c r="J137" s="499" t="s">
        <v>700</v>
      </c>
      <c r="K137" s="499" t="s">
        <v>704</v>
      </c>
      <c r="L137" s="500" t="s">
        <v>721</v>
      </c>
      <c r="M137" s="500" t="s">
        <v>721</v>
      </c>
      <c r="N137" s="501" t="s">
        <v>721</v>
      </c>
      <c r="O137" s="529" t="s">
        <v>721</v>
      </c>
      <c r="P137" s="504"/>
      <c r="R137" s="504">
        <f t="shared" si="10"/>
        <v>3</v>
      </c>
      <c r="S137" s="504">
        <f t="shared" si="10"/>
        <v>2</v>
      </c>
      <c r="T137" s="504">
        <f t="shared" si="10"/>
        <v>0</v>
      </c>
      <c r="U137" s="504">
        <f t="shared" si="10"/>
        <v>2</v>
      </c>
      <c r="V137" s="504">
        <f t="shared" si="10"/>
        <v>0</v>
      </c>
      <c r="W137" s="504">
        <f t="shared" si="10"/>
        <v>1</v>
      </c>
      <c r="X137" s="504">
        <f t="shared" si="10"/>
        <v>2</v>
      </c>
    </row>
    <row r="138" spans="1:24" s="503" customFormat="1" ht="35.25" customHeight="1" outlineLevel="1" x14ac:dyDescent="0.5">
      <c r="A138" s="481"/>
      <c r="B138" s="481"/>
      <c r="C138" s="505" t="s">
        <v>710</v>
      </c>
      <c r="D138" s="506">
        <f>VLOOKUP(C130,overview_of_services!$B$2:$I$88,8,FALSE)</f>
        <v>0</v>
      </c>
      <c r="E138" s="507"/>
      <c r="F138" s="499"/>
      <c r="G138" s="507"/>
      <c r="H138" s="507"/>
      <c r="I138" s="499"/>
      <c r="J138" s="499"/>
      <c r="K138" s="499"/>
      <c r="L138" s="500" t="s">
        <v>721</v>
      </c>
      <c r="M138" s="500" t="s">
        <v>721</v>
      </c>
      <c r="N138" s="501" t="s">
        <v>721</v>
      </c>
      <c r="O138" s="529" t="s">
        <v>721</v>
      </c>
      <c r="P138" s="504"/>
      <c r="R138" s="504">
        <f t="shared" si="10"/>
        <v>0</v>
      </c>
      <c r="S138" s="504">
        <f t="shared" si="10"/>
        <v>0</v>
      </c>
      <c r="T138" s="504">
        <f t="shared" si="10"/>
        <v>0</v>
      </c>
      <c r="U138" s="504">
        <f t="shared" si="10"/>
        <v>0</v>
      </c>
      <c r="V138" s="504">
        <f t="shared" si="10"/>
        <v>0</v>
      </c>
      <c r="W138" s="504">
        <f t="shared" si="10"/>
        <v>0</v>
      </c>
      <c r="X138" s="504">
        <f t="shared" si="10"/>
        <v>0</v>
      </c>
    </row>
    <row r="139" spans="1:24" s="503" customFormat="1" ht="6" customHeight="1" outlineLevel="2" thickBot="1" x14ac:dyDescent="0.4">
      <c r="A139" s="481"/>
      <c r="B139" s="481"/>
      <c r="C139" s="504"/>
      <c r="D139" s="504"/>
      <c r="E139" s="508"/>
      <c r="F139" s="508"/>
      <c r="G139" s="508"/>
      <c r="H139" s="508"/>
      <c r="I139" s="508"/>
      <c r="J139" s="508"/>
      <c r="K139" s="508"/>
      <c r="L139" s="504"/>
      <c r="M139" s="504"/>
      <c r="N139" s="504"/>
      <c r="O139" s="504"/>
      <c r="P139" s="504"/>
    </row>
    <row r="140" spans="1:24" s="503" customFormat="1" ht="30.75" customHeight="1" outlineLevel="2" thickBot="1" x14ac:dyDescent="0.4">
      <c r="A140" s="481"/>
      <c r="B140" s="481"/>
      <c r="C140" s="509"/>
      <c r="D140" s="509" t="s">
        <v>712</v>
      </c>
      <c r="E140" s="511" t="s">
        <v>729</v>
      </c>
      <c r="F140" s="511" t="s">
        <v>729</v>
      </c>
      <c r="G140" s="511" t="s">
        <v>729</v>
      </c>
      <c r="H140" s="511" t="s">
        <v>729</v>
      </c>
      <c r="I140" s="511" t="s">
        <v>729</v>
      </c>
      <c r="J140" s="511" t="s">
        <v>729</v>
      </c>
      <c r="K140" s="511" t="s">
        <v>729</v>
      </c>
      <c r="L140" s="511" t="s">
        <v>729</v>
      </c>
      <c r="M140" s="511" t="s">
        <v>729</v>
      </c>
      <c r="N140" s="511" t="s">
        <v>729</v>
      </c>
      <c r="O140" s="513"/>
      <c r="P140" s="504"/>
    </row>
    <row r="141" spans="1:24" s="503" customFormat="1" ht="30.75" customHeight="1" outlineLevel="2" thickBot="1" x14ac:dyDescent="0.4">
      <c r="A141" s="481"/>
      <c r="B141" s="481"/>
      <c r="C141" s="509"/>
      <c r="D141" s="509" t="s">
        <v>714</v>
      </c>
      <c r="E141" s="510"/>
      <c r="F141" s="512"/>
      <c r="G141" s="511"/>
      <c r="H141" s="511"/>
      <c r="I141" s="511"/>
      <c r="J141" s="511"/>
      <c r="K141" s="511"/>
      <c r="L141" s="517"/>
      <c r="M141" s="518"/>
      <c r="N141" s="513"/>
      <c r="O141" s="513"/>
      <c r="P141" s="504"/>
    </row>
    <row r="142" spans="1:24" ht="20.25" customHeight="1" outlineLevel="1" thickBot="1" x14ac:dyDescent="0.4">
      <c r="C142" s="481"/>
      <c r="D142" s="481"/>
      <c r="E142" s="481"/>
      <c r="F142" s="481"/>
      <c r="G142" s="482"/>
      <c r="H142" s="482"/>
      <c r="I142" s="482"/>
      <c r="J142" s="482"/>
      <c r="K142" s="482"/>
      <c r="L142" s="482"/>
      <c r="M142" s="482"/>
      <c r="N142" s="482"/>
      <c r="O142" s="481"/>
      <c r="P142" s="481"/>
    </row>
    <row r="143" spans="1:24" ht="17.25" customHeight="1" thickBot="1" x14ac:dyDescent="0.4">
      <c r="C143" s="483" t="s">
        <v>677</v>
      </c>
      <c r="D143" s="484" t="s">
        <v>678</v>
      </c>
      <c r="E143" s="481"/>
      <c r="F143" s="481"/>
      <c r="G143" s="482"/>
      <c r="H143" s="482"/>
      <c r="I143" s="482"/>
      <c r="J143" s="482"/>
      <c r="K143" s="482"/>
      <c r="L143" s="482"/>
      <c r="M143" s="482"/>
      <c r="N143" s="482"/>
      <c r="O143" s="481"/>
      <c r="P143" s="481"/>
    </row>
    <row r="144" spans="1:24" s="492" customFormat="1" ht="36.75" customHeight="1" thickBot="1" x14ac:dyDescent="0.7">
      <c r="A144" s="481"/>
      <c r="B144" s="486" t="s">
        <v>679</v>
      </c>
      <c r="C144" s="487" t="s">
        <v>524</v>
      </c>
      <c r="D144" s="514" t="str">
        <f>VLOOKUP(C144,overview_of_services!$B$2:$I$123,3,FALSE)</f>
        <v xml:space="preserve">Central off-switch for appliances at home </v>
      </c>
      <c r="E144" s="489"/>
      <c r="F144" s="490" t="s">
        <v>680</v>
      </c>
      <c r="G144" s="578" t="str">
        <f>VLOOKUP(C144,overview_of_services!$B$2:$I$123,2,FALSE)</f>
        <v>Central control of energy consumers</v>
      </c>
      <c r="H144" s="578"/>
      <c r="I144" s="490"/>
      <c r="J144" s="491"/>
      <c r="K144" s="491"/>
      <c r="L144" s="491"/>
      <c r="M144" s="491"/>
      <c r="N144" s="491"/>
      <c r="R144" s="492" t="s">
        <v>681</v>
      </c>
      <c r="S144" s="492">
        <f>ROW()</f>
        <v>144</v>
      </c>
    </row>
    <row r="145" spans="1:24" ht="5.25" customHeight="1" x14ac:dyDescent="0.35">
      <c r="C145" s="493"/>
      <c r="D145" s="493"/>
      <c r="E145" s="493"/>
      <c r="F145" s="493"/>
      <c r="G145" s="493"/>
      <c r="H145" s="493"/>
      <c r="I145" s="493"/>
      <c r="J145" s="493"/>
      <c r="K145" s="493"/>
      <c r="L145" s="493"/>
      <c r="M145" s="493"/>
      <c r="N145" s="493"/>
      <c r="O145" s="493"/>
      <c r="P145" s="481"/>
    </row>
    <row r="146" spans="1:24" ht="20.25" customHeight="1" outlineLevel="1" x14ac:dyDescent="0.35">
      <c r="C146" s="575" t="s">
        <v>682</v>
      </c>
      <c r="D146" s="575"/>
      <c r="E146" s="577" t="s">
        <v>683</v>
      </c>
      <c r="F146" s="577"/>
      <c r="G146" s="577"/>
      <c r="H146" s="577"/>
      <c r="I146" s="577"/>
      <c r="J146" s="577"/>
      <c r="K146" s="577"/>
      <c r="L146" s="573" t="s">
        <v>684</v>
      </c>
      <c r="M146" s="574"/>
      <c r="N146" s="569" t="s">
        <v>685</v>
      </c>
      <c r="O146" s="571" t="s">
        <v>686</v>
      </c>
      <c r="P146" s="481"/>
    </row>
    <row r="147" spans="1:24" ht="36.75" customHeight="1" outlineLevel="1" thickBot="1" x14ac:dyDescent="0.4">
      <c r="C147" s="576"/>
      <c r="D147" s="576"/>
      <c r="E147" s="495" t="s">
        <v>687</v>
      </c>
      <c r="F147" s="495" t="s">
        <v>688</v>
      </c>
      <c r="G147" s="495" t="s">
        <v>689</v>
      </c>
      <c r="H147" s="495" t="s">
        <v>690</v>
      </c>
      <c r="I147" s="495" t="s">
        <v>616</v>
      </c>
      <c r="J147" s="495" t="s">
        <v>691</v>
      </c>
      <c r="K147" s="495" t="s">
        <v>692</v>
      </c>
      <c r="L147" s="496" t="s">
        <v>693</v>
      </c>
      <c r="M147" s="496" t="s">
        <v>694</v>
      </c>
      <c r="N147" s="570"/>
      <c r="O147" s="572"/>
      <c r="P147" s="481"/>
    </row>
    <row r="148" spans="1:24" s="503" customFormat="1" ht="35.25" customHeight="1" outlineLevel="1" thickTop="1" x14ac:dyDescent="0.5">
      <c r="A148" s="481"/>
      <c r="B148" s="481"/>
      <c r="C148" s="497" t="s">
        <v>695</v>
      </c>
      <c r="D148" s="498" t="str">
        <f>VLOOKUP(C144,overview_of_services!$B$2:$I$88,4,FALSE)</f>
        <v>None</v>
      </c>
      <c r="E148" s="499">
        <v>0</v>
      </c>
      <c r="F148" s="499">
        <v>0</v>
      </c>
      <c r="G148" s="499">
        <v>0</v>
      </c>
      <c r="H148" s="499">
        <v>0</v>
      </c>
      <c r="I148" s="499">
        <v>0</v>
      </c>
      <c r="J148" s="499">
        <v>0</v>
      </c>
      <c r="K148" s="499">
        <v>0</v>
      </c>
      <c r="L148" s="530" t="s">
        <v>696</v>
      </c>
      <c r="M148" s="530" t="s">
        <v>696</v>
      </c>
      <c r="N148" s="531">
        <v>0</v>
      </c>
      <c r="O148" s="532" t="s">
        <v>721</v>
      </c>
      <c r="P148" s="504"/>
      <c r="R148" s="504">
        <f t="shared" ref="R148:X152" si="11">IF(E148=0,0,(IF(E148="+",1,(IF(E148="++",2,(IF(E148="+++",3,(IF(E148="++++",4,(IF(E148="-",-1,(IF(E148="--",-2,(IF(E148="---",-3,(IF(E148="----",-4,"NA")))))))))))))))))</f>
        <v>0</v>
      </c>
      <c r="S148" s="504">
        <f t="shared" si="11"/>
        <v>0</v>
      </c>
      <c r="T148" s="504">
        <f t="shared" si="11"/>
        <v>0</v>
      </c>
      <c r="U148" s="504">
        <f t="shared" si="11"/>
        <v>0</v>
      </c>
      <c r="V148" s="504">
        <f t="shared" si="11"/>
        <v>0</v>
      </c>
      <c r="W148" s="504">
        <f t="shared" si="11"/>
        <v>0</v>
      </c>
      <c r="X148" s="504">
        <f t="shared" si="11"/>
        <v>0</v>
      </c>
    </row>
    <row r="149" spans="1:24" s="503" customFormat="1" ht="35.25" customHeight="1" outlineLevel="1" x14ac:dyDescent="0.5">
      <c r="A149" s="481"/>
      <c r="B149" s="481"/>
      <c r="C149" s="505" t="s">
        <v>699</v>
      </c>
      <c r="D149" s="506" t="str">
        <f>VLOOKUP(C144,overview_of_services!$B$2:$I$88,5,FALSE)</f>
        <v>simple off switch</v>
      </c>
      <c r="E149" s="499" t="s">
        <v>700</v>
      </c>
      <c r="F149" s="499" t="s">
        <v>700</v>
      </c>
      <c r="G149" s="499">
        <v>0</v>
      </c>
      <c r="H149" s="499" t="s">
        <v>700</v>
      </c>
      <c r="I149" s="499">
        <v>0</v>
      </c>
      <c r="J149" s="499" t="s">
        <v>700</v>
      </c>
      <c r="K149" s="499">
        <v>0</v>
      </c>
      <c r="L149" s="530" t="s">
        <v>700</v>
      </c>
      <c r="M149" s="530" t="s">
        <v>697</v>
      </c>
      <c r="N149" s="531" t="s">
        <v>793</v>
      </c>
      <c r="O149" s="532" t="s">
        <v>721</v>
      </c>
      <c r="P149" s="504"/>
      <c r="R149" s="504">
        <f t="shared" si="11"/>
        <v>1</v>
      </c>
      <c r="S149" s="504">
        <f t="shared" si="11"/>
        <v>1</v>
      </c>
      <c r="T149" s="504">
        <f t="shared" si="11"/>
        <v>0</v>
      </c>
      <c r="U149" s="504">
        <f t="shared" si="11"/>
        <v>1</v>
      </c>
      <c r="V149" s="504">
        <f t="shared" si="11"/>
        <v>0</v>
      </c>
      <c r="W149" s="504">
        <f t="shared" si="11"/>
        <v>1</v>
      </c>
      <c r="X149" s="504">
        <f t="shared" si="11"/>
        <v>0</v>
      </c>
    </row>
    <row r="150" spans="1:24" s="503" customFormat="1" ht="35.25" customHeight="1" outlineLevel="1" x14ac:dyDescent="0.5">
      <c r="A150" s="481"/>
      <c r="B150" s="481"/>
      <c r="C150" s="505" t="s">
        <v>703</v>
      </c>
      <c r="D150" s="506" t="str">
        <f>VLOOKUP(C144,overview_of_services!$B$2:$I$88,6,FALSE)</f>
        <v>off switch with ability for remote operation</v>
      </c>
      <c r="E150" s="499" t="s">
        <v>704</v>
      </c>
      <c r="F150" s="499" t="s">
        <v>700</v>
      </c>
      <c r="G150" s="499">
        <v>0</v>
      </c>
      <c r="H150" s="499" t="s">
        <v>704</v>
      </c>
      <c r="I150" s="499">
        <v>0</v>
      </c>
      <c r="J150" s="499" t="s">
        <v>704</v>
      </c>
      <c r="K150" s="499" t="s">
        <v>700</v>
      </c>
      <c r="L150" s="530" t="s">
        <v>697</v>
      </c>
      <c r="M150" s="530">
        <v>0</v>
      </c>
      <c r="N150" s="531" t="s">
        <v>791</v>
      </c>
      <c r="O150" s="532" t="s">
        <v>721</v>
      </c>
      <c r="P150" s="504"/>
      <c r="R150" s="504">
        <f t="shared" si="11"/>
        <v>2</v>
      </c>
      <c r="S150" s="504">
        <f t="shared" si="11"/>
        <v>1</v>
      </c>
      <c r="T150" s="504">
        <f t="shared" si="11"/>
        <v>0</v>
      </c>
      <c r="U150" s="504">
        <f t="shared" si="11"/>
        <v>2</v>
      </c>
      <c r="V150" s="504">
        <f t="shared" si="11"/>
        <v>0</v>
      </c>
      <c r="W150" s="504">
        <f t="shared" si="11"/>
        <v>2</v>
      </c>
      <c r="X150" s="504">
        <f t="shared" si="11"/>
        <v>1</v>
      </c>
    </row>
    <row r="151" spans="1:24" s="503" customFormat="1" ht="35.25" customHeight="1" outlineLevel="1" x14ac:dyDescent="0.5">
      <c r="A151" s="481"/>
      <c r="B151" s="481"/>
      <c r="C151" s="505" t="s">
        <v>706</v>
      </c>
      <c r="D151" s="506" t="str">
        <f>VLOOKUP(C144,overview_of_services!$B$2:$I$88,7,FALSE)</f>
        <v>secquence of deactivation for load optimisation</v>
      </c>
      <c r="E151" s="499" t="s">
        <v>704</v>
      </c>
      <c r="F151" s="499" t="s">
        <v>707</v>
      </c>
      <c r="G151" s="499">
        <v>0</v>
      </c>
      <c r="H151" s="499" t="s">
        <v>704</v>
      </c>
      <c r="I151" s="499">
        <v>0</v>
      </c>
      <c r="J151" s="499" t="s">
        <v>704</v>
      </c>
      <c r="K151" s="499" t="s">
        <v>700</v>
      </c>
      <c r="L151" s="500" t="s">
        <v>721</v>
      </c>
      <c r="M151" s="500" t="s">
        <v>721</v>
      </c>
      <c r="N151" s="501" t="s">
        <v>721</v>
      </c>
      <c r="O151" s="529" t="s">
        <v>721</v>
      </c>
      <c r="P151" s="504"/>
      <c r="R151" s="504">
        <f t="shared" si="11"/>
        <v>2</v>
      </c>
      <c r="S151" s="504">
        <f t="shared" si="11"/>
        <v>3</v>
      </c>
      <c r="T151" s="504">
        <f t="shared" si="11"/>
        <v>0</v>
      </c>
      <c r="U151" s="504">
        <f t="shared" si="11"/>
        <v>2</v>
      </c>
      <c r="V151" s="504">
        <f t="shared" si="11"/>
        <v>0</v>
      </c>
      <c r="W151" s="504">
        <f t="shared" si="11"/>
        <v>2</v>
      </c>
      <c r="X151" s="504">
        <f t="shared" si="11"/>
        <v>1</v>
      </c>
    </row>
    <row r="152" spans="1:24" s="503" customFormat="1" ht="35.25" customHeight="1" outlineLevel="1" x14ac:dyDescent="0.5">
      <c r="A152" s="481"/>
      <c r="B152" s="481"/>
      <c r="C152" s="505" t="s">
        <v>710</v>
      </c>
      <c r="D152" s="506">
        <f>VLOOKUP(C144,overview_of_services!$B$2:$I$88,8,FALSE)</f>
        <v>0</v>
      </c>
      <c r="E152" s="507"/>
      <c r="F152" s="499"/>
      <c r="G152" s="507"/>
      <c r="H152" s="507"/>
      <c r="I152" s="499"/>
      <c r="J152" s="499"/>
      <c r="K152" s="499"/>
      <c r="L152" s="500" t="s">
        <v>721</v>
      </c>
      <c r="M152" s="500" t="s">
        <v>721</v>
      </c>
      <c r="N152" s="501" t="s">
        <v>721</v>
      </c>
      <c r="O152" s="529" t="s">
        <v>721</v>
      </c>
      <c r="P152" s="504"/>
      <c r="R152" s="504">
        <f t="shared" si="11"/>
        <v>0</v>
      </c>
      <c r="S152" s="504">
        <f t="shared" si="11"/>
        <v>0</v>
      </c>
      <c r="T152" s="504">
        <f t="shared" si="11"/>
        <v>0</v>
      </c>
      <c r="U152" s="504">
        <f t="shared" si="11"/>
        <v>0</v>
      </c>
      <c r="V152" s="504">
        <f t="shared" si="11"/>
        <v>0</v>
      </c>
      <c r="W152" s="504">
        <f t="shared" si="11"/>
        <v>0</v>
      </c>
      <c r="X152" s="504">
        <f t="shared" si="11"/>
        <v>0</v>
      </c>
    </row>
    <row r="153" spans="1:24" s="503" customFormat="1" ht="6" customHeight="1" outlineLevel="2" thickBot="1" x14ac:dyDescent="0.4">
      <c r="A153" s="481"/>
      <c r="B153" s="481"/>
      <c r="C153" s="504"/>
      <c r="D153" s="504"/>
      <c r="E153" s="508"/>
      <c r="F153" s="508"/>
      <c r="G153" s="508"/>
      <c r="H153" s="508"/>
      <c r="I153" s="508"/>
      <c r="J153" s="508"/>
      <c r="K153" s="508"/>
      <c r="L153" s="504"/>
      <c r="M153" s="504"/>
      <c r="N153" s="504"/>
      <c r="O153" s="504"/>
      <c r="P153" s="504"/>
    </row>
    <row r="154" spans="1:24" s="503" customFormat="1" ht="30.75" customHeight="1" outlineLevel="2" thickBot="1" x14ac:dyDescent="0.4">
      <c r="A154" s="481"/>
      <c r="B154" s="481"/>
      <c r="C154" s="509"/>
      <c r="D154" s="509" t="s">
        <v>712</v>
      </c>
      <c r="E154" s="511" t="s">
        <v>729</v>
      </c>
      <c r="F154" s="511" t="s">
        <v>729</v>
      </c>
      <c r="G154" s="511" t="s">
        <v>729</v>
      </c>
      <c r="H154" s="511" t="s">
        <v>729</v>
      </c>
      <c r="I154" s="511" t="s">
        <v>729</v>
      </c>
      <c r="J154" s="511" t="s">
        <v>729</v>
      </c>
      <c r="K154" s="511" t="s">
        <v>729</v>
      </c>
      <c r="L154" s="511" t="s">
        <v>729</v>
      </c>
      <c r="M154" s="511" t="s">
        <v>729</v>
      </c>
      <c r="N154" s="511" t="s">
        <v>729</v>
      </c>
      <c r="O154" s="513"/>
      <c r="P154" s="504"/>
    </row>
    <row r="155" spans="1:24" s="503" customFormat="1" ht="30.75" customHeight="1" outlineLevel="2" thickBot="1" x14ac:dyDescent="0.4">
      <c r="A155" s="481"/>
      <c r="B155" s="481"/>
      <c r="C155" s="509"/>
      <c r="D155" s="509" t="s">
        <v>714</v>
      </c>
      <c r="E155" s="510"/>
      <c r="F155" s="512"/>
      <c r="G155" s="511"/>
      <c r="H155" s="511"/>
      <c r="I155" s="511"/>
      <c r="J155" s="511"/>
      <c r="K155" s="511"/>
      <c r="L155" s="517"/>
      <c r="M155" s="518"/>
      <c r="N155" s="513"/>
      <c r="O155" s="513"/>
      <c r="P155" s="504"/>
    </row>
    <row r="156" spans="1:24" ht="15" thickBot="1" x14ac:dyDescent="0.4"/>
    <row r="157" spans="1:24" ht="17.25" customHeight="1" thickBot="1" x14ac:dyDescent="0.4">
      <c r="C157" s="483" t="s">
        <v>677</v>
      </c>
      <c r="D157" s="484" t="s">
        <v>678</v>
      </c>
      <c r="E157" s="481"/>
      <c r="F157" s="481"/>
      <c r="G157" s="482"/>
      <c r="H157" s="482"/>
      <c r="I157" s="482"/>
      <c r="J157" s="482"/>
      <c r="K157" s="482"/>
      <c r="L157" s="482"/>
      <c r="M157" s="482"/>
      <c r="N157" s="482"/>
      <c r="O157" s="481"/>
      <c r="P157" s="481"/>
    </row>
    <row r="158" spans="1:24" s="492" customFormat="1" ht="36.75" customHeight="1" thickBot="1" x14ac:dyDescent="0.7">
      <c r="A158" s="481"/>
      <c r="B158" s="486" t="s">
        <v>679</v>
      </c>
      <c r="C158" s="487" t="s">
        <v>529</v>
      </c>
      <c r="D158" s="514" t="str">
        <f>VLOOKUP(C158,overview_of_services!$B$2:$I$123,3,FALSE)</f>
        <v>Central reporting of TBS performance and energy use</v>
      </c>
      <c r="E158" s="489"/>
      <c r="F158" s="490" t="s">
        <v>680</v>
      </c>
      <c r="G158" s="578" t="str">
        <f>VLOOKUP(C158,overview_of_services!$B$2:$I$123,2,FALSE)</f>
        <v xml:space="preserve">Feedback - Reporting information </v>
      </c>
      <c r="H158" s="578"/>
      <c r="I158" s="490"/>
      <c r="J158" s="491"/>
      <c r="K158" s="491"/>
      <c r="L158" s="491"/>
      <c r="M158" s="491"/>
      <c r="N158" s="491"/>
      <c r="R158" s="492" t="s">
        <v>681</v>
      </c>
      <c r="S158" s="492">
        <f>ROW()</f>
        <v>158</v>
      </c>
    </row>
    <row r="159" spans="1:24" ht="5.25" customHeight="1" x14ac:dyDescent="0.35">
      <c r="C159" s="493"/>
      <c r="D159" s="493"/>
      <c r="E159" s="493"/>
      <c r="F159" s="493"/>
      <c r="G159" s="493"/>
      <c r="H159" s="493"/>
      <c r="I159" s="493"/>
      <c r="J159" s="493"/>
      <c r="K159" s="493"/>
      <c r="L159" s="493"/>
      <c r="M159" s="493"/>
      <c r="N159" s="493"/>
      <c r="O159" s="493"/>
      <c r="P159" s="481"/>
    </row>
    <row r="160" spans="1:24" ht="20.25" customHeight="1" outlineLevel="1" x14ac:dyDescent="0.35">
      <c r="C160" s="575" t="s">
        <v>682</v>
      </c>
      <c r="D160" s="575"/>
      <c r="E160" s="577" t="s">
        <v>683</v>
      </c>
      <c r="F160" s="577"/>
      <c r="G160" s="577"/>
      <c r="H160" s="577"/>
      <c r="I160" s="577"/>
      <c r="J160" s="577"/>
      <c r="K160" s="577"/>
      <c r="L160" s="573" t="s">
        <v>684</v>
      </c>
      <c r="M160" s="574"/>
      <c r="N160" s="569" t="s">
        <v>685</v>
      </c>
      <c r="O160" s="571" t="s">
        <v>686</v>
      </c>
      <c r="P160" s="481"/>
    </row>
    <row r="161" spans="1:25" ht="36.75" customHeight="1" outlineLevel="1" thickBot="1" x14ac:dyDescent="0.4">
      <c r="C161" s="576"/>
      <c r="D161" s="576"/>
      <c r="E161" s="495" t="s">
        <v>687</v>
      </c>
      <c r="F161" s="495" t="s">
        <v>688</v>
      </c>
      <c r="G161" s="495" t="s">
        <v>689</v>
      </c>
      <c r="H161" s="495" t="s">
        <v>690</v>
      </c>
      <c r="I161" s="495" t="s">
        <v>616</v>
      </c>
      <c r="J161" s="495" t="s">
        <v>691</v>
      </c>
      <c r="K161" s="495" t="s">
        <v>692</v>
      </c>
      <c r="L161" s="496" t="s">
        <v>693</v>
      </c>
      <c r="M161" s="496" t="s">
        <v>694</v>
      </c>
      <c r="N161" s="570"/>
      <c r="O161" s="572"/>
      <c r="P161" s="481"/>
    </row>
    <row r="162" spans="1:25" s="503" customFormat="1" ht="35.25" customHeight="1" outlineLevel="1" thickTop="1" x14ac:dyDescent="0.5">
      <c r="A162" s="481"/>
      <c r="B162" s="481"/>
      <c r="C162" s="497" t="s">
        <v>695</v>
      </c>
      <c r="D162" s="498" t="str">
        <f>VLOOKUP(C158,overview_of_services!$B$2:$I$123,4,FALSE)</f>
        <v>None</v>
      </c>
      <c r="E162" s="499">
        <v>0</v>
      </c>
      <c r="F162" s="499">
        <v>0</v>
      </c>
      <c r="G162" s="499">
        <v>0</v>
      </c>
      <c r="H162" s="499">
        <v>0</v>
      </c>
      <c r="I162" s="499">
        <v>0</v>
      </c>
      <c r="J162" s="499">
        <v>0</v>
      </c>
      <c r="K162" s="499">
        <v>0</v>
      </c>
      <c r="L162" s="530" t="s">
        <v>696</v>
      </c>
      <c r="M162" s="530" t="s">
        <v>696</v>
      </c>
      <c r="N162" s="531">
        <v>0</v>
      </c>
      <c r="O162" s="532" t="s">
        <v>721</v>
      </c>
      <c r="P162" s="504"/>
      <c r="R162" s="504">
        <f t="shared" ref="R162:X166" si="12">IF(E162=0,0,(IF(E162="+",1,(IF(E162="++",2,(IF(E162="+++",3,(IF(E162="++++",4,(IF(E162="-",-1,(IF(E162="--",-2,(IF(E162="---",-3,(IF(E162="----",-4,"NA")))))))))))))))))</f>
        <v>0</v>
      </c>
      <c r="S162" s="504">
        <f t="shared" si="12"/>
        <v>0</v>
      </c>
      <c r="T162" s="504">
        <f t="shared" si="12"/>
        <v>0</v>
      </c>
      <c r="U162" s="504">
        <f t="shared" si="12"/>
        <v>0</v>
      </c>
      <c r="V162" s="504">
        <f t="shared" si="12"/>
        <v>0</v>
      </c>
      <c r="W162" s="504">
        <f t="shared" si="12"/>
        <v>0</v>
      </c>
      <c r="X162" s="504">
        <f t="shared" si="12"/>
        <v>0</v>
      </c>
    </row>
    <row r="163" spans="1:25" s="503" customFormat="1" ht="35.25" customHeight="1" outlineLevel="1" x14ac:dyDescent="0.5">
      <c r="A163" s="481"/>
      <c r="B163" s="481"/>
      <c r="C163" s="505" t="s">
        <v>699</v>
      </c>
      <c r="D163" s="506" t="str">
        <f>VLOOKUP(C158,overview_of_services!$B$2:$I$123,5,FALSE)</f>
        <v>Real time indication of energy use per energy carrier</v>
      </c>
      <c r="E163" s="499" t="s">
        <v>700</v>
      </c>
      <c r="F163" s="499">
        <v>0</v>
      </c>
      <c r="G163" s="499">
        <v>0</v>
      </c>
      <c r="H163" s="499" t="s">
        <v>700</v>
      </c>
      <c r="I163" s="499">
        <v>0</v>
      </c>
      <c r="J163" s="499" t="s">
        <v>700</v>
      </c>
      <c r="K163" s="499" t="s">
        <v>700</v>
      </c>
      <c r="L163" s="530" t="s">
        <v>718</v>
      </c>
      <c r="M163" s="530" t="s">
        <v>718</v>
      </c>
      <c r="N163" s="531" t="s">
        <v>793</v>
      </c>
      <c r="O163" s="532" t="s">
        <v>721</v>
      </c>
      <c r="P163" s="504"/>
      <c r="R163" s="504">
        <f t="shared" si="12"/>
        <v>1</v>
      </c>
      <c r="S163" s="504">
        <f t="shared" si="12"/>
        <v>0</v>
      </c>
      <c r="T163" s="504">
        <f t="shared" si="12"/>
        <v>0</v>
      </c>
      <c r="U163" s="504">
        <f t="shared" si="12"/>
        <v>1</v>
      </c>
      <c r="V163" s="504">
        <f t="shared" si="12"/>
        <v>0</v>
      </c>
      <c r="W163" s="504">
        <f t="shared" si="12"/>
        <v>1</v>
      </c>
      <c r="X163" s="504">
        <f t="shared" si="12"/>
        <v>1</v>
      </c>
    </row>
    <row r="164" spans="1:25" s="503" customFormat="1" ht="35.25" customHeight="1" outlineLevel="1" x14ac:dyDescent="0.5">
      <c r="A164" s="481"/>
      <c r="B164" s="481"/>
      <c r="C164" s="505" t="s">
        <v>703</v>
      </c>
      <c r="D164" s="506" t="str">
        <f>VLOOKUP(C158,overview_of_services!$B$2:$I$123,6,FALSE)</f>
        <v>Real time indication of sub-metererd energy use or other performance metrics for at least 2 domains</v>
      </c>
      <c r="E164" s="499" t="s">
        <v>700</v>
      </c>
      <c r="F164" s="499">
        <v>0</v>
      </c>
      <c r="G164" s="499">
        <v>0</v>
      </c>
      <c r="H164" s="499" t="s">
        <v>700</v>
      </c>
      <c r="I164" s="499">
        <v>0</v>
      </c>
      <c r="J164" s="499" t="s">
        <v>700</v>
      </c>
      <c r="K164" s="499" t="s">
        <v>704</v>
      </c>
      <c r="L164" s="530" t="s">
        <v>708</v>
      </c>
      <c r="M164" s="530" t="s">
        <v>708</v>
      </c>
      <c r="N164" s="531" t="s">
        <v>791</v>
      </c>
      <c r="O164" s="532" t="s">
        <v>721</v>
      </c>
      <c r="P164" s="504"/>
      <c r="R164" s="504">
        <f t="shared" si="12"/>
        <v>1</v>
      </c>
      <c r="S164" s="504">
        <f t="shared" si="12"/>
        <v>0</v>
      </c>
      <c r="T164" s="504">
        <f t="shared" si="12"/>
        <v>0</v>
      </c>
      <c r="U164" s="504">
        <f t="shared" si="12"/>
        <v>1</v>
      </c>
      <c r="V164" s="504">
        <f t="shared" si="12"/>
        <v>0</v>
      </c>
      <c r="W164" s="504">
        <f t="shared" si="12"/>
        <v>1</v>
      </c>
      <c r="X164" s="504">
        <f t="shared" si="12"/>
        <v>2</v>
      </c>
    </row>
    <row r="165" spans="1:25" s="503" customFormat="1" ht="35.25" customHeight="1" outlineLevel="1" x14ac:dyDescent="0.5">
      <c r="A165" s="481"/>
      <c r="B165" s="481"/>
      <c r="C165" s="505" t="s">
        <v>706</v>
      </c>
      <c r="D165" s="506" t="str">
        <f>VLOOKUP(C158,overview_of_services!$B$2:$I$123,7,FALSE)</f>
        <v>Real time indication of sub-metererd energy use or other performance metrics for all main TBS</v>
      </c>
      <c r="E165" s="499" t="s">
        <v>700</v>
      </c>
      <c r="F165" s="499">
        <v>0</v>
      </c>
      <c r="G165" s="499">
        <v>0</v>
      </c>
      <c r="H165" s="499" t="s">
        <v>704</v>
      </c>
      <c r="I165" s="499">
        <v>0</v>
      </c>
      <c r="J165" s="499" t="s">
        <v>700</v>
      </c>
      <c r="K165" s="499" t="s">
        <v>707</v>
      </c>
      <c r="L165" s="530" t="s">
        <v>708</v>
      </c>
      <c r="M165" s="530" t="s">
        <v>708</v>
      </c>
      <c r="N165" s="531">
        <v>5</v>
      </c>
      <c r="O165" s="532" t="s">
        <v>721</v>
      </c>
      <c r="P165" s="504"/>
      <c r="R165" s="504">
        <f t="shared" si="12"/>
        <v>1</v>
      </c>
      <c r="S165" s="504">
        <f t="shared" si="12"/>
        <v>0</v>
      </c>
      <c r="T165" s="504">
        <f t="shared" si="12"/>
        <v>0</v>
      </c>
      <c r="U165" s="504">
        <f t="shared" si="12"/>
        <v>2</v>
      </c>
      <c r="V165" s="504">
        <f t="shared" si="12"/>
        <v>0</v>
      </c>
      <c r="W165" s="504">
        <f t="shared" si="12"/>
        <v>1</v>
      </c>
      <c r="X165" s="504">
        <f t="shared" si="12"/>
        <v>3</v>
      </c>
    </row>
    <row r="166" spans="1:25" s="503" customFormat="1" ht="35.25" customHeight="1" outlineLevel="1" x14ac:dyDescent="0.5">
      <c r="A166" s="481"/>
      <c r="B166" s="481"/>
      <c r="C166" s="505" t="s">
        <v>710</v>
      </c>
      <c r="D166" s="506">
        <f>VLOOKUP(C158,overview_of_services!$B$2:$I$123,8,FALSE)</f>
        <v>0</v>
      </c>
      <c r="E166" s="507"/>
      <c r="F166" s="499"/>
      <c r="G166" s="507"/>
      <c r="H166" s="507"/>
      <c r="I166" s="499"/>
      <c r="J166" s="499"/>
      <c r="K166" s="499"/>
      <c r="L166" s="500" t="s">
        <v>721</v>
      </c>
      <c r="M166" s="500" t="s">
        <v>721</v>
      </c>
      <c r="N166" s="501" t="s">
        <v>721</v>
      </c>
      <c r="O166" s="529" t="s">
        <v>721</v>
      </c>
      <c r="P166" s="504"/>
      <c r="R166" s="504">
        <f t="shared" si="12"/>
        <v>0</v>
      </c>
      <c r="S166" s="504">
        <f t="shared" si="12"/>
        <v>0</v>
      </c>
      <c r="T166" s="504">
        <f t="shared" si="12"/>
        <v>0</v>
      </c>
      <c r="U166" s="504">
        <f t="shared" si="12"/>
        <v>0</v>
      </c>
      <c r="V166" s="504">
        <f t="shared" si="12"/>
        <v>0</v>
      </c>
      <c r="W166" s="504">
        <f t="shared" si="12"/>
        <v>0</v>
      </c>
      <c r="X166" s="504">
        <f t="shared" si="12"/>
        <v>0</v>
      </c>
    </row>
    <row r="167" spans="1:25" s="503" customFormat="1" ht="6" customHeight="1" outlineLevel="2" thickBot="1" x14ac:dyDescent="0.4">
      <c r="A167" s="481"/>
      <c r="B167" s="481"/>
      <c r="C167" s="504"/>
      <c r="D167" s="504"/>
      <c r="E167" s="508"/>
      <c r="F167" s="508"/>
      <c r="G167" s="508"/>
      <c r="H167" s="508"/>
      <c r="I167" s="508"/>
      <c r="J167" s="508"/>
      <c r="K167" s="508"/>
      <c r="L167" s="504"/>
      <c r="M167" s="504"/>
      <c r="N167" s="504"/>
      <c r="O167" s="504"/>
      <c r="P167" s="504"/>
    </row>
    <row r="168" spans="1:25" s="503" customFormat="1" ht="30.75" customHeight="1" outlineLevel="2" thickBot="1" x14ac:dyDescent="0.4">
      <c r="A168" s="481"/>
      <c r="B168" s="481"/>
      <c r="C168" s="509"/>
      <c r="D168" s="509" t="s">
        <v>712</v>
      </c>
      <c r="E168" s="511" t="s">
        <v>729</v>
      </c>
      <c r="F168" s="511" t="s">
        <v>729</v>
      </c>
      <c r="G168" s="511" t="s">
        <v>729</v>
      </c>
      <c r="H168" s="511" t="s">
        <v>729</v>
      </c>
      <c r="I168" s="511" t="s">
        <v>729</v>
      </c>
      <c r="J168" s="511" t="s">
        <v>729</v>
      </c>
      <c r="K168" s="511" t="s">
        <v>729</v>
      </c>
      <c r="L168" s="511" t="s">
        <v>729</v>
      </c>
      <c r="M168" s="511" t="s">
        <v>729</v>
      </c>
      <c r="N168" s="511" t="s">
        <v>729</v>
      </c>
      <c r="O168" s="513"/>
      <c r="P168" s="504"/>
    </row>
    <row r="169" spans="1:25" s="503" customFormat="1" ht="30.75" customHeight="1" outlineLevel="2" thickBot="1" x14ac:dyDescent="0.4">
      <c r="A169" s="481"/>
      <c r="B169" s="481"/>
      <c r="C169" s="509"/>
      <c r="D169" s="509" t="s">
        <v>714</v>
      </c>
      <c r="E169" s="510"/>
      <c r="F169" s="512"/>
      <c r="G169" s="511"/>
      <c r="H169" s="511"/>
      <c r="I169" s="511"/>
      <c r="J169" s="511"/>
      <c r="K169" s="511"/>
      <c r="L169" s="517"/>
      <c r="M169" s="518"/>
      <c r="N169" s="513"/>
      <c r="O169" s="513"/>
      <c r="P169" s="504"/>
    </row>
    <row r="170" spans="1:25" ht="15" thickBot="1" x14ac:dyDescent="0.4"/>
    <row r="171" spans="1:25" ht="15" thickBot="1" x14ac:dyDescent="0.4">
      <c r="C171" s="483" t="s">
        <v>677</v>
      </c>
      <c r="D171" s="484" t="s">
        <v>678</v>
      </c>
      <c r="E171" s="481"/>
      <c r="F171" s="481"/>
      <c r="G171" s="482"/>
      <c r="H171" s="482"/>
      <c r="I171" s="482"/>
      <c r="J171" s="482"/>
      <c r="K171" s="482"/>
      <c r="L171" s="482"/>
      <c r="M171" s="482"/>
      <c r="N171" s="482"/>
      <c r="O171" s="481"/>
    </row>
    <row r="172" spans="1:25" ht="16" thickBot="1" x14ac:dyDescent="0.4">
      <c r="C172" s="487" t="s">
        <v>534</v>
      </c>
      <c r="D172" s="514" t="str">
        <f>VLOOKUP(C172,overview_of_services!$B$2:$I$123,3,FALSE)</f>
        <v>Power flows measurement and communications</v>
      </c>
      <c r="E172" s="489"/>
      <c r="F172" s="490" t="s">
        <v>680</v>
      </c>
      <c r="G172" s="578" t="str">
        <f>VLOOKUP(C172,overview_of_services!$B$2:$I$123,2,FALSE)</f>
        <v>DSM- Grid</v>
      </c>
      <c r="H172" s="578"/>
      <c r="I172" s="490"/>
      <c r="J172" s="491"/>
      <c r="K172" s="491"/>
      <c r="L172" s="491"/>
      <c r="M172" s="491"/>
      <c r="N172" s="491"/>
      <c r="O172" s="492"/>
      <c r="P172" s="492"/>
      <c r="Q172" s="492"/>
      <c r="R172" s="492" t="s">
        <v>681</v>
      </c>
      <c r="S172" s="492">
        <f>ROW()</f>
        <v>172</v>
      </c>
      <c r="T172" s="492"/>
      <c r="U172" s="492"/>
      <c r="V172" s="492"/>
      <c r="W172" s="492"/>
      <c r="X172" s="492"/>
      <c r="Y172" s="492"/>
    </row>
    <row r="173" spans="1:25" x14ac:dyDescent="0.35">
      <c r="C173" s="493"/>
      <c r="D173" s="493"/>
      <c r="E173" s="493"/>
      <c r="F173" s="493"/>
      <c r="G173" s="493"/>
      <c r="H173" s="493"/>
      <c r="I173" s="493"/>
      <c r="J173" s="493"/>
      <c r="K173" s="493"/>
      <c r="L173" s="493"/>
      <c r="M173" s="493"/>
      <c r="N173" s="493"/>
      <c r="O173" s="493"/>
      <c r="P173" s="481"/>
    </row>
    <row r="174" spans="1:25" x14ac:dyDescent="0.35">
      <c r="C174" s="575" t="s">
        <v>682</v>
      </c>
      <c r="D174" s="575"/>
      <c r="E174" s="577" t="s">
        <v>683</v>
      </c>
      <c r="F174" s="577"/>
      <c r="G174" s="577"/>
      <c r="H174" s="577"/>
      <c r="I174" s="577"/>
      <c r="J174" s="577"/>
      <c r="K174" s="577"/>
      <c r="L174" s="573" t="s">
        <v>684</v>
      </c>
      <c r="M174" s="574"/>
      <c r="N174" s="569" t="s">
        <v>685</v>
      </c>
      <c r="O174" s="571" t="s">
        <v>686</v>
      </c>
      <c r="P174" s="481"/>
    </row>
    <row r="175" spans="1:25" ht="29.5" thickBot="1" x14ac:dyDescent="0.4">
      <c r="C175" s="576"/>
      <c r="D175" s="576"/>
      <c r="E175" s="495" t="s">
        <v>687</v>
      </c>
      <c r="F175" s="495" t="s">
        <v>688</v>
      </c>
      <c r="G175" s="495" t="s">
        <v>689</v>
      </c>
      <c r="H175" s="495" t="s">
        <v>690</v>
      </c>
      <c r="I175" s="495" t="s">
        <v>616</v>
      </c>
      <c r="J175" s="495" t="s">
        <v>691</v>
      </c>
      <c r="K175" s="495" t="s">
        <v>692</v>
      </c>
      <c r="L175" s="496" t="s">
        <v>693</v>
      </c>
      <c r="M175" s="496" t="s">
        <v>694</v>
      </c>
      <c r="N175" s="570"/>
      <c r="O175" s="572"/>
      <c r="P175" s="481"/>
    </row>
    <row r="176" spans="1:25" ht="21.5" thickTop="1" x14ac:dyDescent="0.5">
      <c r="C176" s="497" t="s">
        <v>695</v>
      </c>
      <c r="D176" s="498" t="str">
        <f>VLOOKUP(C172,overview_of_services!$B$2:$I$123,4,FALSE)</f>
        <v>None</v>
      </c>
      <c r="E176" s="499">
        <v>0</v>
      </c>
      <c r="F176" s="499">
        <v>0</v>
      </c>
      <c r="G176" s="499">
        <v>0</v>
      </c>
      <c r="H176" s="499">
        <v>0</v>
      </c>
      <c r="I176" s="499">
        <v>0</v>
      </c>
      <c r="J176" s="499">
        <v>0</v>
      </c>
      <c r="K176" s="499">
        <v>0</v>
      </c>
      <c r="L176" s="530" t="s">
        <v>696</v>
      </c>
      <c r="M176" s="530" t="s">
        <v>696</v>
      </c>
      <c r="N176" s="531">
        <v>0</v>
      </c>
      <c r="O176" s="532" t="s">
        <v>721</v>
      </c>
      <c r="P176" s="504"/>
      <c r="Q176" s="503"/>
      <c r="R176" s="504">
        <f t="shared" ref="R176:X180" si="13">IF(E176=0,0,(IF(E176="+",1,(IF(E176="++",2,(IF(E176="+++",3,(IF(E176="++++",4,(IF(E176="-",-1,(IF(E176="--",-2,(IF(E176="---",-3,(IF(E176="----",-4,"NA")))))))))))))))))</f>
        <v>0</v>
      </c>
      <c r="S176" s="504">
        <f t="shared" si="13"/>
        <v>0</v>
      </c>
      <c r="T176" s="504">
        <f t="shared" si="13"/>
        <v>0</v>
      </c>
      <c r="U176" s="504">
        <f t="shared" si="13"/>
        <v>0</v>
      </c>
      <c r="V176" s="504">
        <f t="shared" si="13"/>
        <v>0</v>
      </c>
      <c r="W176" s="504">
        <f t="shared" si="13"/>
        <v>0</v>
      </c>
      <c r="X176" s="504">
        <f t="shared" si="13"/>
        <v>0</v>
      </c>
      <c r="Y176" s="503"/>
    </row>
    <row r="177" spans="3:25" ht="21" x14ac:dyDescent="0.5">
      <c r="C177" s="505" t="s">
        <v>699</v>
      </c>
      <c r="D177" s="506" t="str">
        <f>VLOOKUP(C172,overview_of_services!$B$2:$I$123,5,FALSE)</f>
        <v>local use of sensor data</v>
      </c>
      <c r="E177" s="499" t="s">
        <v>700</v>
      </c>
      <c r="F177" s="499" t="s">
        <v>700</v>
      </c>
      <c r="G177" s="499">
        <v>0</v>
      </c>
      <c r="H177" s="499">
        <v>0</v>
      </c>
      <c r="I177" s="499">
        <v>0</v>
      </c>
      <c r="J177" s="499" t="s">
        <v>697</v>
      </c>
      <c r="K177" s="499">
        <v>0</v>
      </c>
      <c r="L177" s="530">
        <v>0</v>
      </c>
      <c r="M177" s="530" t="s">
        <v>700</v>
      </c>
      <c r="N177" s="531" t="s">
        <v>796</v>
      </c>
      <c r="O177" s="532" t="s">
        <v>721</v>
      </c>
      <c r="P177" s="504"/>
      <c r="Q177" s="503"/>
      <c r="R177" s="504">
        <f t="shared" si="13"/>
        <v>1</v>
      </c>
      <c r="S177" s="504">
        <f t="shared" si="13"/>
        <v>1</v>
      </c>
      <c r="T177" s="504">
        <f t="shared" si="13"/>
        <v>0</v>
      </c>
      <c r="U177" s="504">
        <f t="shared" si="13"/>
        <v>0</v>
      </c>
      <c r="V177" s="504">
        <f t="shared" si="13"/>
        <v>0</v>
      </c>
      <c r="W177" s="504">
        <f t="shared" si="13"/>
        <v>-1</v>
      </c>
      <c r="X177" s="504">
        <f t="shared" si="13"/>
        <v>0</v>
      </c>
      <c r="Y177" s="503"/>
    </row>
    <row r="178" spans="3:25" ht="21" x14ac:dyDescent="0.5">
      <c r="C178" s="505" t="s">
        <v>703</v>
      </c>
      <c r="D178" s="506" t="str">
        <f>VLOOKUP(C172,overview_of_services!$B$2:$I$123,6,FALSE)</f>
        <v>use of sensor data in microgrid operations</v>
      </c>
      <c r="E178" s="499" t="s">
        <v>700</v>
      </c>
      <c r="F178" s="499" t="s">
        <v>704</v>
      </c>
      <c r="G178" s="499">
        <v>0</v>
      </c>
      <c r="H178" s="499">
        <v>0</v>
      </c>
      <c r="I178" s="499">
        <v>0</v>
      </c>
      <c r="J178" s="499" t="s">
        <v>697</v>
      </c>
      <c r="K178" s="499">
        <v>0</v>
      </c>
      <c r="L178" s="530">
        <v>0</v>
      </c>
      <c r="M178" s="530" t="s">
        <v>700</v>
      </c>
      <c r="N178" s="531" t="s">
        <v>796</v>
      </c>
      <c r="O178" s="532" t="s">
        <v>721</v>
      </c>
      <c r="P178" s="504"/>
      <c r="Q178" s="503"/>
      <c r="R178" s="504">
        <f t="shared" si="13"/>
        <v>1</v>
      </c>
      <c r="S178" s="504">
        <f t="shared" si="13"/>
        <v>2</v>
      </c>
      <c r="T178" s="504">
        <f t="shared" si="13"/>
        <v>0</v>
      </c>
      <c r="U178" s="504">
        <f t="shared" si="13"/>
        <v>0</v>
      </c>
      <c r="V178" s="504">
        <f t="shared" si="13"/>
        <v>0</v>
      </c>
      <c r="W178" s="504">
        <f t="shared" si="13"/>
        <v>-1</v>
      </c>
      <c r="X178" s="504">
        <f t="shared" si="13"/>
        <v>0</v>
      </c>
      <c r="Y178" s="503"/>
    </row>
    <row r="179" spans="3:25" ht="21" x14ac:dyDescent="0.5">
      <c r="C179" s="505" t="s">
        <v>706</v>
      </c>
      <c r="D179" s="506" t="str">
        <f>VLOOKUP(C172,overview_of_services!$B$2:$I$123,7,FALSE)</f>
        <v>DSO based use of sensor data</v>
      </c>
      <c r="E179" s="499">
        <v>0</v>
      </c>
      <c r="F179" s="499" t="s">
        <v>704</v>
      </c>
      <c r="G179" s="499">
        <v>0</v>
      </c>
      <c r="H179" s="499">
        <v>0</v>
      </c>
      <c r="I179" s="499">
        <v>0</v>
      </c>
      <c r="J179" s="499" t="s">
        <v>697</v>
      </c>
      <c r="K179" s="499">
        <v>0</v>
      </c>
      <c r="L179" s="530">
        <v>0</v>
      </c>
      <c r="M179" s="530" t="s">
        <v>797</v>
      </c>
      <c r="N179" s="531" t="s">
        <v>796</v>
      </c>
      <c r="O179" s="529" t="s">
        <v>721</v>
      </c>
      <c r="P179" s="504"/>
      <c r="Q179" s="503"/>
      <c r="R179" s="504">
        <f t="shared" si="13"/>
        <v>0</v>
      </c>
      <c r="S179" s="504">
        <f t="shared" si="13"/>
        <v>2</v>
      </c>
      <c r="T179" s="504">
        <f t="shared" si="13"/>
        <v>0</v>
      </c>
      <c r="U179" s="504">
        <f t="shared" si="13"/>
        <v>0</v>
      </c>
      <c r="V179" s="504">
        <f t="shared" si="13"/>
        <v>0</v>
      </c>
      <c r="W179" s="504">
        <f t="shared" si="13"/>
        <v>-1</v>
      </c>
      <c r="X179" s="504">
        <f t="shared" si="13"/>
        <v>0</v>
      </c>
      <c r="Y179" s="503"/>
    </row>
    <row r="180" spans="3:25" ht="21" x14ac:dyDescent="0.5">
      <c r="C180" s="505" t="s">
        <v>710</v>
      </c>
      <c r="D180" s="506">
        <f>VLOOKUP(C172,overview_of_services!$B$2:$I$123,8,FALSE)</f>
        <v>0</v>
      </c>
      <c r="E180" s="507"/>
      <c r="F180" s="499"/>
      <c r="G180" s="507"/>
      <c r="H180" s="507"/>
      <c r="I180" s="499"/>
      <c r="J180" s="499"/>
      <c r="K180" s="499"/>
      <c r="L180" s="500" t="s">
        <v>721</v>
      </c>
      <c r="M180" s="500" t="s">
        <v>721</v>
      </c>
      <c r="N180" s="501" t="s">
        <v>721</v>
      </c>
      <c r="O180" s="529" t="s">
        <v>721</v>
      </c>
      <c r="P180" s="504"/>
      <c r="Q180" s="503"/>
      <c r="R180" s="504">
        <f t="shared" si="13"/>
        <v>0</v>
      </c>
      <c r="S180" s="504">
        <f t="shared" si="13"/>
        <v>0</v>
      </c>
      <c r="T180" s="504">
        <f t="shared" si="13"/>
        <v>0</v>
      </c>
      <c r="U180" s="504">
        <f t="shared" si="13"/>
        <v>0</v>
      </c>
      <c r="V180" s="504">
        <f t="shared" si="13"/>
        <v>0</v>
      </c>
      <c r="W180" s="504">
        <f t="shared" si="13"/>
        <v>0</v>
      </c>
      <c r="X180" s="504">
        <f t="shared" si="13"/>
        <v>0</v>
      </c>
      <c r="Y180" s="503"/>
    </row>
    <row r="181" spans="3:25" ht="15" thickBot="1" x14ac:dyDescent="0.4">
      <c r="C181" s="504"/>
      <c r="D181" s="504"/>
      <c r="E181" s="508"/>
      <c r="F181" s="508"/>
      <c r="G181" s="508"/>
      <c r="H181" s="508"/>
      <c r="I181" s="508"/>
      <c r="J181" s="508"/>
      <c r="K181" s="508"/>
      <c r="L181" s="504"/>
      <c r="M181" s="504"/>
      <c r="N181" s="504"/>
      <c r="O181" s="504"/>
      <c r="P181" s="504"/>
      <c r="Q181" s="503"/>
      <c r="R181" s="503"/>
      <c r="S181" s="503"/>
      <c r="T181" s="503"/>
      <c r="U181" s="503"/>
      <c r="V181" s="503"/>
      <c r="W181" s="503"/>
      <c r="X181" s="503"/>
      <c r="Y181" s="503"/>
    </row>
    <row r="182" spans="3:25" ht="15" thickBot="1" x14ac:dyDescent="0.4">
      <c r="C182" s="509"/>
      <c r="D182" s="509" t="s">
        <v>712</v>
      </c>
      <c r="E182" s="511" t="s">
        <v>729</v>
      </c>
      <c r="F182" s="511" t="s">
        <v>729</v>
      </c>
      <c r="G182" s="511" t="s">
        <v>729</v>
      </c>
      <c r="H182" s="511" t="s">
        <v>729</v>
      </c>
      <c r="I182" s="511" t="s">
        <v>729</v>
      </c>
      <c r="J182" s="511" t="s">
        <v>729</v>
      </c>
      <c r="K182" s="511" t="s">
        <v>729</v>
      </c>
      <c r="L182" s="511" t="s">
        <v>729</v>
      </c>
      <c r="M182" s="511" t="s">
        <v>729</v>
      </c>
      <c r="N182" s="511" t="s">
        <v>729</v>
      </c>
      <c r="O182" s="513"/>
      <c r="P182" s="504"/>
      <c r="Q182" s="503"/>
      <c r="R182" s="503"/>
      <c r="S182" s="503"/>
      <c r="T182" s="503"/>
      <c r="U182" s="503"/>
      <c r="V182" s="503"/>
      <c r="W182" s="503"/>
      <c r="X182" s="503"/>
      <c r="Y182" s="503"/>
    </row>
    <row r="183" spans="3:25" ht="15" thickBot="1" x14ac:dyDescent="0.4">
      <c r="C183" s="509"/>
      <c r="D183" s="509" t="s">
        <v>714</v>
      </c>
      <c r="E183" s="510"/>
      <c r="F183" s="512"/>
      <c r="G183" s="511"/>
      <c r="H183" s="511"/>
      <c r="I183" s="511"/>
      <c r="J183" s="511"/>
      <c r="K183" s="511"/>
      <c r="L183" s="517"/>
      <c r="M183" s="518"/>
      <c r="N183" s="513"/>
      <c r="O183" s="513"/>
      <c r="P183" s="504"/>
      <c r="Q183" s="503"/>
      <c r="R183" s="503"/>
      <c r="S183" s="503"/>
      <c r="T183" s="503"/>
      <c r="U183" s="503"/>
      <c r="V183" s="503"/>
      <c r="W183" s="503"/>
      <c r="X183" s="503"/>
      <c r="Y183" s="503"/>
    </row>
    <row r="184" spans="3:25" ht="15" thickBot="1" x14ac:dyDescent="0.4"/>
    <row r="185" spans="3:25" ht="15" thickBot="1" x14ac:dyDescent="0.4">
      <c r="C185" s="483" t="s">
        <v>677</v>
      </c>
      <c r="D185" s="484" t="s">
        <v>678</v>
      </c>
      <c r="E185" s="481"/>
      <c r="F185" s="481"/>
      <c r="G185" s="482"/>
      <c r="H185" s="482"/>
      <c r="I185" s="482"/>
      <c r="J185" s="482"/>
      <c r="K185" s="482"/>
      <c r="L185" s="482"/>
      <c r="M185" s="482"/>
      <c r="N185" s="482"/>
      <c r="O185" s="481"/>
    </row>
    <row r="186" spans="3:25" ht="16" thickBot="1" x14ac:dyDescent="0.4">
      <c r="C186" s="487" t="s">
        <v>540</v>
      </c>
      <c r="D186" s="514" t="str">
        <f>VLOOKUP(C186,overview_of_services!$B$2:$I$123,3,FALSE)</f>
        <v>Energy delivery KPI tracking and calculation</v>
      </c>
      <c r="E186" s="489"/>
      <c r="F186" s="490" t="s">
        <v>680</v>
      </c>
      <c r="G186" s="578" t="str">
        <f>VLOOKUP(C186,overview_of_services!$B$2:$I$123,2,FALSE)</f>
        <v>DSM - Local Systems</v>
      </c>
      <c r="H186" s="578"/>
      <c r="I186" s="490"/>
      <c r="J186" s="491"/>
      <c r="K186" s="491"/>
      <c r="L186" s="491"/>
      <c r="M186" s="491"/>
      <c r="N186" s="491"/>
      <c r="O186" s="492"/>
      <c r="P186" s="492"/>
      <c r="Q186" s="492"/>
      <c r="R186" s="492" t="s">
        <v>681</v>
      </c>
      <c r="S186" s="492">
        <f>ROW()</f>
        <v>186</v>
      </c>
      <c r="T186" s="492"/>
      <c r="U186" s="492"/>
      <c r="V186" s="492"/>
      <c r="W186" s="492"/>
      <c r="X186" s="492"/>
      <c r="Y186" s="492"/>
    </row>
    <row r="187" spans="3:25" x14ac:dyDescent="0.35">
      <c r="C187" s="493"/>
      <c r="D187" s="493"/>
      <c r="E187" s="493"/>
      <c r="F187" s="493"/>
      <c r="G187" s="493"/>
      <c r="H187" s="493"/>
      <c r="I187" s="493"/>
      <c r="J187" s="493"/>
      <c r="K187" s="493"/>
      <c r="L187" s="493"/>
      <c r="M187" s="493"/>
      <c r="N187" s="493"/>
      <c r="O187" s="493"/>
      <c r="P187" s="481"/>
    </row>
    <row r="188" spans="3:25" x14ac:dyDescent="0.35">
      <c r="C188" s="575" t="s">
        <v>682</v>
      </c>
      <c r="D188" s="575"/>
      <c r="E188" s="577" t="s">
        <v>683</v>
      </c>
      <c r="F188" s="577"/>
      <c r="G188" s="577"/>
      <c r="H188" s="577"/>
      <c r="I188" s="577"/>
      <c r="J188" s="577"/>
      <c r="K188" s="577"/>
      <c r="L188" s="573" t="s">
        <v>684</v>
      </c>
      <c r="M188" s="574"/>
      <c r="N188" s="569" t="s">
        <v>685</v>
      </c>
      <c r="O188" s="571" t="s">
        <v>686</v>
      </c>
      <c r="P188" s="481"/>
    </row>
    <row r="189" spans="3:25" ht="29.5" thickBot="1" x14ac:dyDescent="0.4">
      <c r="C189" s="576"/>
      <c r="D189" s="576"/>
      <c r="E189" s="495" t="s">
        <v>687</v>
      </c>
      <c r="F189" s="495" t="s">
        <v>688</v>
      </c>
      <c r="G189" s="495" t="s">
        <v>689</v>
      </c>
      <c r="H189" s="495" t="s">
        <v>690</v>
      </c>
      <c r="I189" s="495" t="s">
        <v>616</v>
      </c>
      <c r="J189" s="495" t="s">
        <v>691</v>
      </c>
      <c r="K189" s="495" t="s">
        <v>692</v>
      </c>
      <c r="L189" s="496" t="s">
        <v>693</v>
      </c>
      <c r="M189" s="496" t="s">
        <v>694</v>
      </c>
      <c r="N189" s="570"/>
      <c r="O189" s="572"/>
      <c r="P189" s="481"/>
    </row>
    <row r="190" spans="3:25" ht="21.5" thickTop="1" x14ac:dyDescent="0.5">
      <c r="C190" s="497" t="s">
        <v>695</v>
      </c>
      <c r="D190" s="498" t="str">
        <f>VLOOKUP(C186,overview_of_services!$B$2:$I$123,4,FALSE)</f>
        <v>None</v>
      </c>
      <c r="E190" s="499">
        <v>0</v>
      </c>
      <c r="F190" s="499">
        <v>0</v>
      </c>
      <c r="G190" s="499">
        <v>0</v>
      </c>
      <c r="H190" s="499">
        <v>0</v>
      </c>
      <c r="I190" s="499">
        <v>0</v>
      </c>
      <c r="J190" s="499">
        <v>0</v>
      </c>
      <c r="K190" s="499">
        <v>0</v>
      </c>
      <c r="L190" s="530" t="s">
        <v>696</v>
      </c>
      <c r="M190" s="530" t="s">
        <v>696</v>
      </c>
      <c r="N190" s="531">
        <v>0</v>
      </c>
      <c r="O190" s="532" t="s">
        <v>721</v>
      </c>
      <c r="P190" s="504"/>
      <c r="Q190" s="503"/>
      <c r="R190" s="504">
        <f t="shared" ref="R190:X194" si="14">IF(E190=0,0,(IF(E190="+",1,(IF(E190="++",2,(IF(E190="+++",3,(IF(E190="++++",4,(IF(E190="-",-1,(IF(E190="--",-2,(IF(E190="---",-3,(IF(E190="----",-4,"NA")))))))))))))))))</f>
        <v>0</v>
      </c>
      <c r="S190" s="504">
        <f t="shared" si="14"/>
        <v>0</v>
      </c>
      <c r="T190" s="504">
        <f t="shared" si="14"/>
        <v>0</v>
      </c>
      <c r="U190" s="504">
        <f t="shared" si="14"/>
        <v>0</v>
      </c>
      <c r="V190" s="504">
        <f t="shared" si="14"/>
        <v>0</v>
      </c>
      <c r="W190" s="504">
        <f t="shared" si="14"/>
        <v>0</v>
      </c>
      <c r="X190" s="504">
        <f t="shared" si="14"/>
        <v>0</v>
      </c>
      <c r="Y190" s="503"/>
    </row>
    <row r="191" spans="3:25" ht="21" x14ac:dyDescent="0.5">
      <c r="C191" s="505" t="s">
        <v>699</v>
      </c>
      <c r="D191" s="506" t="str">
        <f>VLOOKUP(C186,overview_of_services!$B$2:$I$123,5,FALSE)</f>
        <v>local optimisation</v>
      </c>
      <c r="E191" s="499" t="s">
        <v>700</v>
      </c>
      <c r="F191" s="499" t="s">
        <v>700</v>
      </c>
      <c r="G191" s="499">
        <v>0</v>
      </c>
      <c r="H191" s="499" t="s">
        <v>700</v>
      </c>
      <c r="I191" s="499">
        <v>0</v>
      </c>
      <c r="J191" s="499" t="s">
        <v>700</v>
      </c>
      <c r="K191" s="499" t="s">
        <v>700</v>
      </c>
      <c r="L191" s="530" t="s">
        <v>697</v>
      </c>
      <c r="M191" s="530">
        <v>0</v>
      </c>
      <c r="N191" s="531">
        <v>10</v>
      </c>
      <c r="O191" s="532" t="s">
        <v>721</v>
      </c>
      <c r="P191" s="504"/>
      <c r="Q191" s="503"/>
      <c r="R191" s="504">
        <f t="shared" si="14"/>
        <v>1</v>
      </c>
      <c r="S191" s="504">
        <f t="shared" si="14"/>
        <v>1</v>
      </c>
      <c r="T191" s="504">
        <f t="shared" si="14"/>
        <v>0</v>
      </c>
      <c r="U191" s="504">
        <f t="shared" si="14"/>
        <v>1</v>
      </c>
      <c r="V191" s="504">
        <f t="shared" si="14"/>
        <v>0</v>
      </c>
      <c r="W191" s="504">
        <f t="shared" si="14"/>
        <v>1</v>
      </c>
      <c r="X191" s="504">
        <f t="shared" si="14"/>
        <v>1</v>
      </c>
      <c r="Y191" s="503"/>
    </row>
    <row r="192" spans="3:25" ht="21" x14ac:dyDescent="0.5">
      <c r="C192" s="505" t="s">
        <v>703</v>
      </c>
      <c r="D192" s="506">
        <f>VLOOKUP(C186,overview_of_services!$B$2:$I$123,6,FALSE)</f>
        <v>0</v>
      </c>
      <c r="E192" s="499"/>
      <c r="F192" s="499"/>
      <c r="G192" s="499"/>
      <c r="H192" s="499"/>
      <c r="I192" s="499"/>
      <c r="J192" s="499"/>
      <c r="K192" s="499"/>
      <c r="L192" s="500" t="s">
        <v>721</v>
      </c>
      <c r="M192" s="500" t="s">
        <v>721</v>
      </c>
      <c r="N192" s="501" t="s">
        <v>721</v>
      </c>
      <c r="O192" s="532" t="s">
        <v>721</v>
      </c>
      <c r="P192" s="504"/>
      <c r="Q192" s="503"/>
      <c r="R192" s="504">
        <f t="shared" si="14"/>
        <v>0</v>
      </c>
      <c r="S192" s="504">
        <f t="shared" si="14"/>
        <v>0</v>
      </c>
      <c r="T192" s="504">
        <f t="shared" si="14"/>
        <v>0</v>
      </c>
      <c r="U192" s="504">
        <f t="shared" si="14"/>
        <v>0</v>
      </c>
      <c r="V192" s="504">
        <f t="shared" si="14"/>
        <v>0</v>
      </c>
      <c r="W192" s="504">
        <f t="shared" si="14"/>
        <v>0</v>
      </c>
      <c r="X192" s="504">
        <f t="shared" si="14"/>
        <v>0</v>
      </c>
      <c r="Y192" s="503"/>
    </row>
    <row r="193" spans="3:25" ht="21" x14ac:dyDescent="0.5">
      <c r="C193" s="505" t="s">
        <v>706</v>
      </c>
      <c r="D193" s="506">
        <f>VLOOKUP(C186,overview_of_services!$B$2:$I$123,7,FALSE)</f>
        <v>0</v>
      </c>
      <c r="E193" s="499"/>
      <c r="F193" s="499"/>
      <c r="G193" s="499"/>
      <c r="H193" s="499"/>
      <c r="I193" s="499"/>
      <c r="J193" s="499"/>
      <c r="K193" s="499"/>
      <c r="L193" s="500" t="s">
        <v>721</v>
      </c>
      <c r="M193" s="500" t="s">
        <v>721</v>
      </c>
      <c r="N193" s="501" t="s">
        <v>721</v>
      </c>
      <c r="O193" s="529" t="s">
        <v>721</v>
      </c>
      <c r="P193" s="504"/>
      <c r="Q193" s="503"/>
      <c r="R193" s="504">
        <f t="shared" si="14"/>
        <v>0</v>
      </c>
      <c r="S193" s="504">
        <f t="shared" si="14"/>
        <v>0</v>
      </c>
      <c r="T193" s="504">
        <f t="shared" si="14"/>
        <v>0</v>
      </c>
      <c r="U193" s="504">
        <f t="shared" si="14"/>
        <v>0</v>
      </c>
      <c r="V193" s="504">
        <f t="shared" si="14"/>
        <v>0</v>
      </c>
      <c r="W193" s="504">
        <f t="shared" si="14"/>
        <v>0</v>
      </c>
      <c r="X193" s="504">
        <f t="shared" si="14"/>
        <v>0</v>
      </c>
      <c r="Y193" s="503"/>
    </row>
    <row r="194" spans="3:25" ht="21" x14ac:dyDescent="0.5">
      <c r="C194" s="505" t="s">
        <v>710</v>
      </c>
      <c r="D194" s="506">
        <f>VLOOKUP(C186,overview_of_services!$B$2:$I$123,8,FALSE)</f>
        <v>0</v>
      </c>
      <c r="E194" s="507"/>
      <c r="F194" s="499"/>
      <c r="G194" s="507"/>
      <c r="H194" s="507"/>
      <c r="I194" s="499"/>
      <c r="J194" s="499"/>
      <c r="K194" s="499"/>
      <c r="L194" s="500" t="s">
        <v>721</v>
      </c>
      <c r="M194" s="500" t="s">
        <v>721</v>
      </c>
      <c r="N194" s="501" t="s">
        <v>721</v>
      </c>
      <c r="O194" s="529" t="s">
        <v>721</v>
      </c>
      <c r="P194" s="504"/>
      <c r="Q194" s="503"/>
      <c r="R194" s="504">
        <f t="shared" si="14"/>
        <v>0</v>
      </c>
      <c r="S194" s="504">
        <f t="shared" si="14"/>
        <v>0</v>
      </c>
      <c r="T194" s="504">
        <f t="shared" si="14"/>
        <v>0</v>
      </c>
      <c r="U194" s="504">
        <f t="shared" si="14"/>
        <v>0</v>
      </c>
      <c r="V194" s="504">
        <f t="shared" si="14"/>
        <v>0</v>
      </c>
      <c r="W194" s="504">
        <f t="shared" si="14"/>
        <v>0</v>
      </c>
      <c r="X194" s="504">
        <f t="shared" si="14"/>
        <v>0</v>
      </c>
      <c r="Y194" s="503"/>
    </row>
    <row r="195" spans="3:25" ht="15" thickBot="1" x14ac:dyDescent="0.4">
      <c r="C195" s="504"/>
      <c r="D195" s="504"/>
      <c r="E195" s="508"/>
      <c r="F195" s="508"/>
      <c r="G195" s="508"/>
      <c r="H195" s="508"/>
      <c r="I195" s="508"/>
      <c r="J195" s="508"/>
      <c r="K195" s="508"/>
      <c r="L195" s="504"/>
      <c r="M195" s="504"/>
      <c r="N195" s="504"/>
      <c r="O195" s="504"/>
      <c r="P195" s="504"/>
      <c r="Q195" s="503"/>
      <c r="R195" s="503"/>
      <c r="S195" s="503"/>
      <c r="T195" s="503"/>
      <c r="U195" s="503"/>
      <c r="V195" s="503"/>
      <c r="W195" s="503"/>
      <c r="X195" s="503"/>
      <c r="Y195" s="503"/>
    </row>
    <row r="196" spans="3:25" ht="15" thickBot="1" x14ac:dyDescent="0.4">
      <c r="C196" s="509"/>
      <c r="D196" s="509" t="s">
        <v>712</v>
      </c>
      <c r="E196" s="511" t="s">
        <v>729</v>
      </c>
      <c r="F196" s="511" t="s">
        <v>729</v>
      </c>
      <c r="G196" s="511" t="s">
        <v>729</v>
      </c>
      <c r="H196" s="511" t="s">
        <v>729</v>
      </c>
      <c r="I196" s="511" t="s">
        <v>729</v>
      </c>
      <c r="J196" s="511" t="s">
        <v>729</v>
      </c>
      <c r="K196" s="511" t="s">
        <v>729</v>
      </c>
      <c r="L196" s="511" t="s">
        <v>729</v>
      </c>
      <c r="M196" s="511" t="s">
        <v>729</v>
      </c>
      <c r="N196" s="513" t="s">
        <v>806</v>
      </c>
      <c r="O196" s="513"/>
      <c r="P196" s="504"/>
      <c r="Q196" s="503"/>
      <c r="R196" s="503"/>
      <c r="S196" s="503"/>
      <c r="T196" s="503"/>
      <c r="U196" s="503"/>
      <c r="V196" s="503"/>
      <c r="W196" s="503"/>
      <c r="X196" s="503"/>
      <c r="Y196" s="503"/>
    </row>
    <row r="197" spans="3:25" ht="15" thickBot="1" x14ac:dyDescent="0.4">
      <c r="C197" s="509"/>
      <c r="D197" s="509" t="s">
        <v>714</v>
      </c>
      <c r="E197" s="510"/>
      <c r="F197" s="512"/>
      <c r="G197" s="511"/>
      <c r="H197" s="511"/>
      <c r="I197" s="511"/>
      <c r="J197" s="511"/>
      <c r="K197" s="511"/>
      <c r="L197" s="517"/>
      <c r="M197" s="518"/>
      <c r="N197" s="513"/>
      <c r="O197" s="513"/>
      <c r="P197" s="504"/>
      <c r="Q197" s="503"/>
      <c r="R197" s="503"/>
      <c r="S197" s="503"/>
      <c r="T197" s="503"/>
      <c r="U197" s="503"/>
      <c r="V197" s="503"/>
      <c r="W197" s="503"/>
      <c r="X197" s="503"/>
      <c r="Y197" s="503"/>
    </row>
    <row r="198" spans="3:25" ht="15" thickBot="1" x14ac:dyDescent="0.4"/>
    <row r="199" spans="3:25" ht="15" thickBot="1" x14ac:dyDescent="0.4">
      <c r="C199" s="483" t="s">
        <v>677</v>
      </c>
      <c r="D199" s="484" t="s">
        <v>678</v>
      </c>
      <c r="E199" s="481"/>
      <c r="F199" s="481"/>
      <c r="G199" s="482"/>
      <c r="H199" s="482"/>
      <c r="I199" s="482"/>
      <c r="J199" s="482"/>
      <c r="K199" s="482"/>
      <c r="L199" s="482"/>
      <c r="M199" s="482"/>
      <c r="N199" s="482"/>
      <c r="O199" s="481"/>
    </row>
    <row r="200" spans="3:25" ht="16" thickBot="1" x14ac:dyDescent="0.4">
      <c r="C200" s="487" t="s">
        <v>543</v>
      </c>
      <c r="D200" s="514" t="str">
        <f>VLOOKUP(C200,overview_of_services!$B$2:$I$123,3,FALSE)</f>
        <v>Fault location and detection</v>
      </c>
      <c r="E200" s="489"/>
      <c r="F200" s="490" t="s">
        <v>680</v>
      </c>
      <c r="G200" s="578" t="str">
        <f>VLOOKUP(C200,overview_of_services!$B$2:$I$123,2,FALSE)</f>
        <v>DSM- Grid</v>
      </c>
      <c r="H200" s="578"/>
      <c r="I200" s="490"/>
      <c r="J200" s="491"/>
      <c r="K200" s="491"/>
      <c r="L200" s="491"/>
      <c r="M200" s="491"/>
      <c r="N200" s="491"/>
      <c r="O200" s="492"/>
      <c r="P200" s="492"/>
      <c r="Q200" s="492"/>
      <c r="R200" s="492" t="s">
        <v>681</v>
      </c>
      <c r="S200" s="492">
        <f>ROW()</f>
        <v>200</v>
      </c>
      <c r="T200" s="492"/>
      <c r="U200" s="492"/>
      <c r="V200" s="492"/>
      <c r="W200" s="492"/>
      <c r="X200" s="492"/>
      <c r="Y200" s="492"/>
    </row>
    <row r="201" spans="3:25" x14ac:dyDescent="0.35">
      <c r="C201" s="493"/>
      <c r="D201" s="493"/>
      <c r="E201" s="493"/>
      <c r="F201" s="493"/>
      <c r="G201" s="493"/>
      <c r="H201" s="493"/>
      <c r="I201" s="493"/>
      <c r="J201" s="493"/>
      <c r="K201" s="493"/>
      <c r="L201" s="493"/>
      <c r="M201" s="493"/>
      <c r="N201" s="493"/>
      <c r="O201" s="493"/>
      <c r="P201" s="481"/>
    </row>
    <row r="202" spans="3:25" x14ac:dyDescent="0.35">
      <c r="C202" s="575" t="s">
        <v>682</v>
      </c>
      <c r="D202" s="575"/>
      <c r="E202" s="577" t="s">
        <v>683</v>
      </c>
      <c r="F202" s="577"/>
      <c r="G202" s="577"/>
      <c r="H202" s="577"/>
      <c r="I202" s="577"/>
      <c r="J202" s="577"/>
      <c r="K202" s="577"/>
      <c r="L202" s="573" t="s">
        <v>684</v>
      </c>
      <c r="M202" s="574"/>
      <c r="N202" s="569" t="s">
        <v>685</v>
      </c>
      <c r="O202" s="571" t="s">
        <v>686</v>
      </c>
      <c r="P202" s="481"/>
    </row>
    <row r="203" spans="3:25" ht="29.5" thickBot="1" x14ac:dyDescent="0.4">
      <c r="C203" s="576"/>
      <c r="D203" s="576"/>
      <c r="E203" s="495" t="s">
        <v>687</v>
      </c>
      <c r="F203" s="495" t="s">
        <v>688</v>
      </c>
      <c r="G203" s="495" t="s">
        <v>689</v>
      </c>
      <c r="H203" s="495" t="s">
        <v>690</v>
      </c>
      <c r="I203" s="495" t="s">
        <v>616</v>
      </c>
      <c r="J203" s="495" t="s">
        <v>691</v>
      </c>
      <c r="K203" s="495" t="s">
        <v>692</v>
      </c>
      <c r="L203" s="496" t="s">
        <v>693</v>
      </c>
      <c r="M203" s="496" t="s">
        <v>694</v>
      </c>
      <c r="N203" s="570"/>
      <c r="O203" s="572"/>
      <c r="P203" s="481"/>
    </row>
    <row r="204" spans="3:25" ht="21.5" thickTop="1" x14ac:dyDescent="0.5">
      <c r="C204" s="497" t="s">
        <v>695</v>
      </c>
      <c r="D204" s="498" t="str">
        <f>VLOOKUP(C200,overview_of_services!$B$2:$I$123,4,FALSE)</f>
        <v>None</v>
      </c>
      <c r="E204" s="499">
        <v>0</v>
      </c>
      <c r="F204" s="499">
        <v>0</v>
      </c>
      <c r="G204" s="499">
        <v>0</v>
      </c>
      <c r="H204" s="499">
        <v>0</v>
      </c>
      <c r="I204" s="499">
        <v>0</v>
      </c>
      <c r="J204" s="499">
        <v>0</v>
      </c>
      <c r="K204" s="499">
        <v>0</v>
      </c>
      <c r="L204" s="530" t="s">
        <v>696</v>
      </c>
      <c r="M204" s="530" t="s">
        <v>696</v>
      </c>
      <c r="N204" s="531">
        <v>0</v>
      </c>
      <c r="O204" s="532" t="s">
        <v>721</v>
      </c>
      <c r="P204" s="504"/>
      <c r="Q204" s="503"/>
      <c r="R204" s="504">
        <f t="shared" ref="R204:X208" si="15">IF(E204=0,0,(IF(E204="+",1,(IF(E204="++",2,(IF(E204="+++",3,(IF(E204="++++",4,(IF(E204="-",-1,(IF(E204="--",-2,(IF(E204="---",-3,(IF(E204="----",-4,"NA")))))))))))))))))</f>
        <v>0</v>
      </c>
      <c r="S204" s="504">
        <f t="shared" si="15"/>
        <v>0</v>
      </c>
      <c r="T204" s="504">
        <f t="shared" si="15"/>
        <v>0</v>
      </c>
      <c r="U204" s="504">
        <f t="shared" si="15"/>
        <v>0</v>
      </c>
      <c r="V204" s="504">
        <f t="shared" si="15"/>
        <v>0</v>
      </c>
      <c r="W204" s="504">
        <f t="shared" si="15"/>
        <v>0</v>
      </c>
      <c r="X204" s="504">
        <f t="shared" si="15"/>
        <v>0</v>
      </c>
      <c r="Y204" s="503"/>
    </row>
    <row r="205" spans="3:25" ht="21" x14ac:dyDescent="0.5">
      <c r="C205" s="505" t="s">
        <v>699</v>
      </c>
      <c r="D205" s="506" t="str">
        <f>VLOOKUP(C200,overview_of_services!$B$2:$I$123,5,FALSE)</f>
        <v>local based detection of errors</v>
      </c>
      <c r="E205" s="499">
        <v>0</v>
      </c>
      <c r="F205" s="499" t="s">
        <v>700</v>
      </c>
      <c r="G205" s="499">
        <v>0</v>
      </c>
      <c r="H205" s="499">
        <v>0</v>
      </c>
      <c r="I205" s="499">
        <v>0</v>
      </c>
      <c r="J205" s="499" t="s">
        <v>704</v>
      </c>
      <c r="K205" s="499" t="s">
        <v>700</v>
      </c>
      <c r="L205" s="530" t="s">
        <v>797</v>
      </c>
      <c r="M205" s="530">
        <v>0</v>
      </c>
      <c r="N205" s="531">
        <v>10</v>
      </c>
      <c r="O205" s="532" t="s">
        <v>721</v>
      </c>
      <c r="P205" s="504"/>
      <c r="Q205" s="503"/>
      <c r="R205" s="504">
        <f t="shared" si="15"/>
        <v>0</v>
      </c>
      <c r="S205" s="504">
        <f t="shared" si="15"/>
        <v>1</v>
      </c>
      <c r="T205" s="504">
        <f t="shared" si="15"/>
        <v>0</v>
      </c>
      <c r="U205" s="504">
        <f t="shared" si="15"/>
        <v>0</v>
      </c>
      <c r="V205" s="504">
        <f t="shared" si="15"/>
        <v>0</v>
      </c>
      <c r="W205" s="504">
        <f t="shared" si="15"/>
        <v>2</v>
      </c>
      <c r="X205" s="504">
        <f t="shared" si="15"/>
        <v>1</v>
      </c>
      <c r="Y205" s="503"/>
    </row>
    <row r="206" spans="3:25" ht="21" x14ac:dyDescent="0.5">
      <c r="C206" s="505" t="s">
        <v>703</v>
      </c>
      <c r="D206" s="506" t="str">
        <f>VLOOKUP(C200,overview_of_services!$B$2:$I$123,6,FALSE)</f>
        <v>DSO optimised operations</v>
      </c>
      <c r="E206" s="499">
        <v>0</v>
      </c>
      <c r="F206" s="499" t="s">
        <v>700</v>
      </c>
      <c r="G206" s="499">
        <v>0</v>
      </c>
      <c r="H206" s="499">
        <v>0</v>
      </c>
      <c r="I206" s="499">
        <v>0</v>
      </c>
      <c r="J206" s="499" t="s">
        <v>704</v>
      </c>
      <c r="K206" s="499" t="s">
        <v>700</v>
      </c>
      <c r="L206" s="530" t="s">
        <v>797</v>
      </c>
      <c r="M206" s="530">
        <v>0</v>
      </c>
      <c r="N206" s="531">
        <v>10</v>
      </c>
      <c r="O206" s="532" t="s">
        <v>721</v>
      </c>
      <c r="P206" s="504"/>
      <c r="Q206" s="503"/>
      <c r="R206" s="504">
        <f t="shared" si="15"/>
        <v>0</v>
      </c>
      <c r="S206" s="504">
        <f t="shared" si="15"/>
        <v>1</v>
      </c>
      <c r="T206" s="504">
        <f t="shared" si="15"/>
        <v>0</v>
      </c>
      <c r="U206" s="504">
        <f t="shared" si="15"/>
        <v>0</v>
      </c>
      <c r="V206" s="504">
        <f t="shared" si="15"/>
        <v>0</v>
      </c>
      <c r="W206" s="504">
        <f t="shared" si="15"/>
        <v>2</v>
      </c>
      <c r="X206" s="504">
        <f t="shared" si="15"/>
        <v>1</v>
      </c>
      <c r="Y206" s="503"/>
    </row>
    <row r="207" spans="3:25" ht="21" x14ac:dyDescent="0.5">
      <c r="C207" s="505" t="s">
        <v>706</v>
      </c>
      <c r="D207" s="506">
        <f>VLOOKUP(C200,overview_of_services!$B$2:$I$123,7,FALSE)</f>
        <v>0</v>
      </c>
      <c r="E207" s="499"/>
      <c r="F207" s="499"/>
      <c r="G207" s="499"/>
      <c r="H207" s="499"/>
      <c r="I207" s="499"/>
      <c r="J207" s="499"/>
      <c r="K207" s="499"/>
      <c r="L207" s="500" t="s">
        <v>721</v>
      </c>
      <c r="M207" s="500" t="s">
        <v>721</v>
      </c>
      <c r="N207" s="501" t="s">
        <v>721</v>
      </c>
      <c r="O207" s="529" t="s">
        <v>721</v>
      </c>
      <c r="P207" s="504"/>
      <c r="Q207" s="503"/>
      <c r="R207" s="504">
        <f t="shared" si="15"/>
        <v>0</v>
      </c>
      <c r="S207" s="504">
        <f t="shared" si="15"/>
        <v>0</v>
      </c>
      <c r="T207" s="504">
        <f t="shared" si="15"/>
        <v>0</v>
      </c>
      <c r="U207" s="504">
        <f t="shared" si="15"/>
        <v>0</v>
      </c>
      <c r="V207" s="504">
        <f t="shared" si="15"/>
        <v>0</v>
      </c>
      <c r="W207" s="504">
        <f t="shared" si="15"/>
        <v>0</v>
      </c>
      <c r="X207" s="504">
        <f t="shared" si="15"/>
        <v>0</v>
      </c>
      <c r="Y207" s="503"/>
    </row>
    <row r="208" spans="3:25" ht="21" x14ac:dyDescent="0.5">
      <c r="C208" s="505" t="s">
        <v>710</v>
      </c>
      <c r="D208" s="506">
        <f>VLOOKUP(C200,overview_of_services!$B$2:$I$123,8,FALSE)</f>
        <v>0</v>
      </c>
      <c r="E208" s="507"/>
      <c r="F208" s="499"/>
      <c r="G208" s="507"/>
      <c r="H208" s="507"/>
      <c r="I208" s="499"/>
      <c r="J208" s="499"/>
      <c r="K208" s="499"/>
      <c r="L208" s="500" t="s">
        <v>721</v>
      </c>
      <c r="M208" s="500" t="s">
        <v>721</v>
      </c>
      <c r="N208" s="501" t="s">
        <v>721</v>
      </c>
      <c r="O208" s="529" t="s">
        <v>721</v>
      </c>
      <c r="P208" s="504"/>
      <c r="Q208" s="503"/>
      <c r="R208" s="504">
        <f t="shared" si="15"/>
        <v>0</v>
      </c>
      <c r="S208" s="504">
        <f t="shared" si="15"/>
        <v>0</v>
      </c>
      <c r="T208" s="504">
        <f t="shared" si="15"/>
        <v>0</v>
      </c>
      <c r="U208" s="504">
        <f t="shared" si="15"/>
        <v>0</v>
      </c>
      <c r="V208" s="504">
        <f t="shared" si="15"/>
        <v>0</v>
      </c>
      <c r="W208" s="504">
        <f t="shared" si="15"/>
        <v>0</v>
      </c>
      <c r="X208" s="504">
        <f t="shared" si="15"/>
        <v>0</v>
      </c>
      <c r="Y208" s="503"/>
    </row>
    <row r="209" spans="3:25" ht="15" thickBot="1" x14ac:dyDescent="0.4">
      <c r="C209" s="504"/>
      <c r="D209" s="504"/>
      <c r="E209" s="508"/>
      <c r="F209" s="508"/>
      <c r="G209" s="508"/>
      <c r="H209" s="508"/>
      <c r="I209" s="508"/>
      <c r="J209" s="508"/>
      <c r="K209" s="508"/>
      <c r="L209" s="504"/>
      <c r="M209" s="504"/>
      <c r="N209" s="504"/>
      <c r="O209" s="504"/>
      <c r="P209" s="504"/>
      <c r="Q209" s="503"/>
      <c r="R209" s="503"/>
      <c r="S209" s="503"/>
      <c r="T209" s="503"/>
      <c r="U209" s="503"/>
      <c r="V209" s="503"/>
      <c r="W209" s="503"/>
      <c r="X209" s="503"/>
      <c r="Y209" s="503"/>
    </row>
    <row r="210" spans="3:25" ht="15" thickBot="1" x14ac:dyDescent="0.4">
      <c r="C210" s="509"/>
      <c r="D210" s="509" t="s">
        <v>712</v>
      </c>
      <c r="E210" s="511" t="s">
        <v>729</v>
      </c>
      <c r="F210" s="511" t="s">
        <v>729</v>
      </c>
      <c r="G210" s="511" t="s">
        <v>729</v>
      </c>
      <c r="H210" s="511" t="s">
        <v>729</v>
      </c>
      <c r="I210" s="511" t="s">
        <v>729</v>
      </c>
      <c r="J210" s="511" t="s">
        <v>729</v>
      </c>
      <c r="K210" s="511" t="s">
        <v>729</v>
      </c>
      <c r="L210" s="511" t="s">
        <v>729</v>
      </c>
      <c r="M210" s="511" t="s">
        <v>729</v>
      </c>
      <c r="N210" s="511" t="s">
        <v>729</v>
      </c>
      <c r="O210" s="513"/>
      <c r="P210" s="504"/>
      <c r="Q210" s="503"/>
      <c r="R210" s="503"/>
      <c r="S210" s="503"/>
      <c r="T210" s="503"/>
      <c r="U210" s="503"/>
      <c r="V210" s="503"/>
      <c r="W210" s="503"/>
      <c r="X210" s="503"/>
      <c r="Y210" s="503"/>
    </row>
    <row r="211" spans="3:25" ht="15" thickBot="1" x14ac:dyDescent="0.4">
      <c r="C211" s="509"/>
      <c r="D211" s="509" t="s">
        <v>714</v>
      </c>
      <c r="E211" s="510"/>
      <c r="F211" s="512"/>
      <c r="G211" s="511"/>
      <c r="H211" s="511"/>
      <c r="I211" s="511"/>
      <c r="J211" s="511"/>
      <c r="K211" s="511"/>
      <c r="L211" s="517"/>
      <c r="M211" s="518"/>
      <c r="N211" s="513"/>
      <c r="O211" s="513"/>
      <c r="P211" s="504"/>
      <c r="Q211" s="503"/>
      <c r="R211" s="503"/>
      <c r="S211" s="503"/>
      <c r="T211" s="503"/>
      <c r="U211" s="503"/>
      <c r="V211" s="503"/>
      <c r="W211" s="503"/>
      <c r="X211" s="503"/>
      <c r="Y211" s="503"/>
    </row>
    <row r="212" spans="3:25" ht="15" thickBot="1" x14ac:dyDescent="0.4"/>
    <row r="213" spans="3:25" ht="15" thickBot="1" x14ac:dyDescent="0.4">
      <c r="C213" s="483" t="s">
        <v>677</v>
      </c>
      <c r="D213" s="484" t="s">
        <v>678</v>
      </c>
      <c r="E213" s="481"/>
      <c r="F213" s="481"/>
      <c r="G213" s="482"/>
      <c r="H213" s="482"/>
      <c r="I213" s="482"/>
      <c r="J213" s="482"/>
      <c r="K213" s="482"/>
      <c r="L213" s="482"/>
      <c r="M213" s="482"/>
      <c r="N213" s="482"/>
      <c r="O213" s="481"/>
    </row>
    <row r="214" spans="3:25" ht="16" thickBot="1" x14ac:dyDescent="0.4">
      <c r="C214" s="487" t="s">
        <v>547</v>
      </c>
      <c r="D214" s="514" t="str">
        <f>VLOOKUP(C214,overview_of_services!$B$2:$I$123,3,FALSE)</f>
        <v>Fault prevention and risk assessment</v>
      </c>
      <c r="E214" s="489"/>
      <c r="F214" s="490" t="s">
        <v>680</v>
      </c>
      <c r="G214" s="578" t="str">
        <f>VLOOKUP(C214,overview_of_services!$B$2:$I$123,2,FALSE)</f>
        <v>DSM- Grid</v>
      </c>
      <c r="H214" s="578"/>
      <c r="I214" s="490"/>
      <c r="J214" s="491"/>
      <c r="K214" s="491"/>
      <c r="L214" s="491"/>
      <c r="M214" s="491"/>
      <c r="N214" s="491"/>
      <c r="O214" s="492"/>
      <c r="P214" s="492"/>
      <c r="Q214" s="492"/>
      <c r="R214" s="492" t="s">
        <v>681</v>
      </c>
      <c r="S214" s="492">
        <f>ROW()</f>
        <v>214</v>
      </c>
      <c r="T214" s="492"/>
      <c r="U214" s="492"/>
      <c r="V214" s="492"/>
      <c r="W214" s="492"/>
      <c r="X214" s="492"/>
      <c r="Y214" s="492"/>
    </row>
    <row r="215" spans="3:25" x14ac:dyDescent="0.35">
      <c r="C215" s="493"/>
      <c r="D215" s="493"/>
      <c r="E215" s="493"/>
      <c r="F215" s="493"/>
      <c r="G215" s="493"/>
      <c r="H215" s="493"/>
      <c r="I215" s="493"/>
      <c r="J215" s="493"/>
      <c r="K215" s="493"/>
      <c r="L215" s="493"/>
      <c r="M215" s="493"/>
      <c r="N215" s="493"/>
      <c r="O215" s="493"/>
      <c r="P215" s="481"/>
    </row>
    <row r="216" spans="3:25" x14ac:dyDescent="0.35">
      <c r="C216" s="575" t="s">
        <v>682</v>
      </c>
      <c r="D216" s="575"/>
      <c r="E216" s="577" t="s">
        <v>683</v>
      </c>
      <c r="F216" s="577"/>
      <c r="G216" s="577"/>
      <c r="H216" s="577"/>
      <c r="I216" s="577"/>
      <c r="J216" s="577"/>
      <c r="K216" s="577"/>
      <c r="L216" s="573" t="s">
        <v>684</v>
      </c>
      <c r="M216" s="574"/>
      <c r="N216" s="569" t="s">
        <v>685</v>
      </c>
      <c r="O216" s="571" t="s">
        <v>686</v>
      </c>
      <c r="P216" s="481"/>
    </row>
    <row r="217" spans="3:25" ht="29.5" thickBot="1" x14ac:dyDescent="0.4">
      <c r="C217" s="576"/>
      <c r="D217" s="576"/>
      <c r="E217" s="495" t="s">
        <v>687</v>
      </c>
      <c r="F217" s="495" t="s">
        <v>688</v>
      </c>
      <c r="G217" s="495" t="s">
        <v>689</v>
      </c>
      <c r="H217" s="495" t="s">
        <v>690</v>
      </c>
      <c r="I217" s="495" t="s">
        <v>616</v>
      </c>
      <c r="J217" s="495" t="s">
        <v>691</v>
      </c>
      <c r="K217" s="495" t="s">
        <v>692</v>
      </c>
      <c r="L217" s="496" t="s">
        <v>693</v>
      </c>
      <c r="M217" s="496" t="s">
        <v>694</v>
      </c>
      <c r="N217" s="570"/>
      <c r="O217" s="572"/>
      <c r="P217" s="481"/>
    </row>
    <row r="218" spans="3:25" ht="21.5" thickTop="1" x14ac:dyDescent="0.5">
      <c r="C218" s="497" t="s">
        <v>695</v>
      </c>
      <c r="D218" s="498" t="str">
        <f>VLOOKUP(C214,overview_of_services!$B$2:$I$123,4,FALSE)</f>
        <v>None</v>
      </c>
      <c r="E218" s="499">
        <v>0</v>
      </c>
      <c r="F218" s="499">
        <v>0</v>
      </c>
      <c r="G218" s="499">
        <v>0</v>
      </c>
      <c r="H218" s="499">
        <v>0</v>
      </c>
      <c r="I218" s="499">
        <v>0</v>
      </c>
      <c r="J218" s="499">
        <v>0</v>
      </c>
      <c r="K218" s="499">
        <v>0</v>
      </c>
      <c r="L218" s="530" t="s">
        <v>696</v>
      </c>
      <c r="M218" s="530" t="s">
        <v>696</v>
      </c>
      <c r="N218" s="531">
        <v>0</v>
      </c>
      <c r="O218" s="532" t="s">
        <v>721</v>
      </c>
      <c r="P218" s="504"/>
      <c r="Q218" s="503"/>
      <c r="R218" s="504">
        <f t="shared" ref="R218:X222" si="16">IF(E218=0,0,(IF(E218="+",1,(IF(E218="++",2,(IF(E218="+++",3,(IF(E218="++++",4,(IF(E218="-",-1,(IF(E218="--",-2,(IF(E218="---",-3,(IF(E218="----",-4,"NA")))))))))))))))))</f>
        <v>0</v>
      </c>
      <c r="S218" s="504">
        <f t="shared" si="16"/>
        <v>0</v>
      </c>
      <c r="T218" s="504">
        <f t="shared" si="16"/>
        <v>0</v>
      </c>
      <c r="U218" s="504">
        <f t="shared" si="16"/>
        <v>0</v>
      </c>
      <c r="V218" s="504">
        <f t="shared" si="16"/>
        <v>0</v>
      </c>
      <c r="W218" s="504">
        <f t="shared" si="16"/>
        <v>0</v>
      </c>
      <c r="X218" s="504">
        <f t="shared" si="16"/>
        <v>0</v>
      </c>
      <c r="Y218" s="503"/>
    </row>
    <row r="219" spans="3:25" ht="21" x14ac:dyDescent="0.5">
      <c r="C219" s="505" t="s">
        <v>699</v>
      </c>
      <c r="D219" s="506" t="str">
        <f>VLOOKUP(C214,overview_of_services!$B$2:$I$123,5,FALSE)</f>
        <v>local based detection of errors</v>
      </c>
      <c r="E219" s="499">
        <v>0</v>
      </c>
      <c r="F219" s="499" t="s">
        <v>700</v>
      </c>
      <c r="G219" s="499" t="s">
        <v>700</v>
      </c>
      <c r="H219" s="499" t="s">
        <v>700</v>
      </c>
      <c r="I219" s="499">
        <v>0</v>
      </c>
      <c r="J219" s="499" t="s">
        <v>700</v>
      </c>
      <c r="K219" s="499">
        <v>0</v>
      </c>
      <c r="L219" s="530">
        <v>0</v>
      </c>
      <c r="M219" s="530">
        <v>0</v>
      </c>
      <c r="N219" s="531" t="s">
        <v>796</v>
      </c>
      <c r="O219" s="532" t="s">
        <v>721</v>
      </c>
      <c r="P219" s="504"/>
      <c r="Q219" s="503"/>
      <c r="R219" s="504">
        <f t="shared" si="16"/>
        <v>0</v>
      </c>
      <c r="S219" s="504">
        <f t="shared" si="16"/>
        <v>1</v>
      </c>
      <c r="T219" s="504">
        <f t="shared" si="16"/>
        <v>1</v>
      </c>
      <c r="U219" s="504">
        <f t="shared" si="16"/>
        <v>1</v>
      </c>
      <c r="V219" s="504">
        <f t="shared" si="16"/>
        <v>0</v>
      </c>
      <c r="W219" s="504">
        <f t="shared" si="16"/>
        <v>1</v>
      </c>
      <c r="X219" s="504">
        <f t="shared" si="16"/>
        <v>0</v>
      </c>
      <c r="Y219" s="503"/>
    </row>
    <row r="220" spans="3:25" ht="21" x14ac:dyDescent="0.5">
      <c r="C220" s="505" t="s">
        <v>703</v>
      </c>
      <c r="D220" s="506" t="str">
        <f>VLOOKUP(C214,overview_of_services!$B$2:$I$123,6,FALSE)</f>
        <v>DSO optimised operations</v>
      </c>
      <c r="E220" s="499">
        <v>0</v>
      </c>
      <c r="F220" s="499" t="s">
        <v>700</v>
      </c>
      <c r="G220" s="499" t="s">
        <v>700</v>
      </c>
      <c r="H220" s="499" t="s">
        <v>700</v>
      </c>
      <c r="I220" s="499">
        <v>0</v>
      </c>
      <c r="J220" s="499" t="s">
        <v>700</v>
      </c>
      <c r="K220" s="499">
        <v>0</v>
      </c>
      <c r="L220" s="530">
        <v>0</v>
      </c>
      <c r="M220" s="530">
        <v>0</v>
      </c>
      <c r="N220" s="531" t="s">
        <v>796</v>
      </c>
      <c r="O220" s="532" t="s">
        <v>721</v>
      </c>
      <c r="P220" s="504"/>
      <c r="Q220" s="503"/>
      <c r="R220" s="504">
        <f t="shared" si="16"/>
        <v>0</v>
      </c>
      <c r="S220" s="504">
        <f t="shared" si="16"/>
        <v>1</v>
      </c>
      <c r="T220" s="504">
        <f t="shared" si="16"/>
        <v>1</v>
      </c>
      <c r="U220" s="504">
        <f t="shared" si="16"/>
        <v>1</v>
      </c>
      <c r="V220" s="504">
        <f t="shared" si="16"/>
        <v>0</v>
      </c>
      <c r="W220" s="504">
        <f t="shared" si="16"/>
        <v>1</v>
      </c>
      <c r="X220" s="504">
        <f t="shared" si="16"/>
        <v>0</v>
      </c>
      <c r="Y220" s="503"/>
    </row>
    <row r="221" spans="3:25" ht="21" x14ac:dyDescent="0.5">
      <c r="C221" s="505" t="s">
        <v>706</v>
      </c>
      <c r="D221" s="506">
        <f>VLOOKUP(C214,overview_of_services!$B$2:$I$123,7,FALSE)</f>
        <v>0</v>
      </c>
      <c r="E221" s="499"/>
      <c r="F221" s="499"/>
      <c r="G221" s="499"/>
      <c r="H221" s="499"/>
      <c r="I221" s="499"/>
      <c r="J221" s="499"/>
      <c r="K221" s="499"/>
      <c r="L221" s="500" t="s">
        <v>721</v>
      </c>
      <c r="M221" s="500" t="s">
        <v>721</v>
      </c>
      <c r="N221" s="501" t="s">
        <v>721</v>
      </c>
      <c r="O221" s="529" t="s">
        <v>721</v>
      </c>
      <c r="P221" s="504"/>
      <c r="Q221" s="503"/>
      <c r="R221" s="504">
        <f t="shared" si="16"/>
        <v>0</v>
      </c>
      <c r="S221" s="504">
        <f t="shared" si="16"/>
        <v>0</v>
      </c>
      <c r="T221" s="504">
        <f t="shared" si="16"/>
        <v>0</v>
      </c>
      <c r="U221" s="504">
        <f t="shared" si="16"/>
        <v>0</v>
      </c>
      <c r="V221" s="504">
        <f t="shared" si="16"/>
        <v>0</v>
      </c>
      <c r="W221" s="504">
        <f t="shared" si="16"/>
        <v>0</v>
      </c>
      <c r="X221" s="504">
        <f t="shared" si="16"/>
        <v>0</v>
      </c>
      <c r="Y221" s="503"/>
    </row>
    <row r="222" spans="3:25" ht="21" x14ac:dyDescent="0.5">
      <c r="C222" s="505" t="s">
        <v>710</v>
      </c>
      <c r="D222" s="506">
        <f>VLOOKUP(C214,overview_of_services!$B$2:$I$123,8,FALSE)</f>
        <v>0</v>
      </c>
      <c r="E222" s="507"/>
      <c r="F222" s="499"/>
      <c r="G222" s="507"/>
      <c r="H222" s="507"/>
      <c r="I222" s="499"/>
      <c r="J222" s="499"/>
      <c r="K222" s="499"/>
      <c r="L222" s="500" t="s">
        <v>721</v>
      </c>
      <c r="M222" s="500" t="s">
        <v>721</v>
      </c>
      <c r="N222" s="501" t="s">
        <v>721</v>
      </c>
      <c r="O222" s="529" t="s">
        <v>721</v>
      </c>
      <c r="P222" s="504"/>
      <c r="Q222" s="503"/>
      <c r="R222" s="504">
        <f t="shared" si="16"/>
        <v>0</v>
      </c>
      <c r="S222" s="504">
        <f t="shared" si="16"/>
        <v>0</v>
      </c>
      <c r="T222" s="504">
        <f t="shared" si="16"/>
        <v>0</v>
      </c>
      <c r="U222" s="504">
        <f t="shared" si="16"/>
        <v>0</v>
      </c>
      <c r="V222" s="504">
        <f t="shared" si="16"/>
        <v>0</v>
      </c>
      <c r="W222" s="504">
        <f t="shared" si="16"/>
        <v>0</v>
      </c>
      <c r="X222" s="504">
        <f t="shared" si="16"/>
        <v>0</v>
      </c>
      <c r="Y222" s="503"/>
    </row>
    <row r="223" spans="3:25" ht="15" thickBot="1" x14ac:dyDescent="0.4">
      <c r="C223" s="504"/>
      <c r="D223" s="504"/>
      <c r="E223" s="508"/>
      <c r="F223" s="508"/>
      <c r="G223" s="508"/>
      <c r="H223" s="508"/>
      <c r="I223" s="508"/>
      <c r="J223" s="508"/>
      <c r="K223" s="508"/>
      <c r="L223" s="504"/>
      <c r="M223" s="504"/>
      <c r="N223" s="504"/>
      <c r="O223" s="504"/>
      <c r="P223" s="504"/>
      <c r="Q223" s="503"/>
      <c r="R223" s="503"/>
      <c r="S223" s="503"/>
      <c r="T223" s="503"/>
      <c r="U223" s="503"/>
      <c r="V223" s="503"/>
      <c r="W223" s="503"/>
      <c r="X223" s="503"/>
      <c r="Y223" s="503"/>
    </row>
    <row r="224" spans="3:25" ht="15" thickBot="1" x14ac:dyDescent="0.4">
      <c r="C224" s="509"/>
      <c r="D224" s="509" t="s">
        <v>712</v>
      </c>
      <c r="E224" s="511" t="s">
        <v>729</v>
      </c>
      <c r="F224" s="511" t="s">
        <v>729</v>
      </c>
      <c r="G224" s="511" t="s">
        <v>729</v>
      </c>
      <c r="H224" s="511" t="s">
        <v>729</v>
      </c>
      <c r="I224" s="511" t="s">
        <v>729</v>
      </c>
      <c r="J224" s="511" t="s">
        <v>729</v>
      </c>
      <c r="K224" s="511" t="s">
        <v>729</v>
      </c>
      <c r="L224" s="511" t="s">
        <v>729</v>
      </c>
      <c r="M224" s="511" t="s">
        <v>729</v>
      </c>
      <c r="N224" s="511" t="s">
        <v>729</v>
      </c>
      <c r="O224" s="513"/>
      <c r="P224" s="504"/>
      <c r="Q224" s="503"/>
      <c r="R224" s="503"/>
      <c r="S224" s="503"/>
      <c r="T224" s="503"/>
      <c r="U224" s="503"/>
      <c r="V224" s="503"/>
      <c r="W224" s="503"/>
      <c r="X224" s="503"/>
      <c r="Y224" s="503"/>
    </row>
    <row r="225" spans="3:25" ht="15" thickBot="1" x14ac:dyDescent="0.4">
      <c r="C225" s="509"/>
      <c r="D225" s="509" t="s">
        <v>714</v>
      </c>
      <c r="E225" s="510"/>
      <c r="F225" s="512"/>
      <c r="G225" s="511"/>
      <c r="H225" s="511"/>
      <c r="I225" s="511"/>
      <c r="J225" s="511"/>
      <c r="K225" s="511"/>
      <c r="L225" s="517"/>
      <c r="M225" s="518"/>
      <c r="N225" s="513"/>
      <c r="O225" s="513"/>
      <c r="P225" s="504"/>
      <c r="Q225" s="503"/>
      <c r="R225" s="503"/>
      <c r="S225" s="503"/>
      <c r="T225" s="503"/>
      <c r="U225" s="503"/>
      <c r="V225" s="503"/>
      <c r="W225" s="503"/>
      <c r="X225" s="503"/>
      <c r="Y225" s="503"/>
    </row>
    <row r="226" spans="3:25" ht="15" thickBot="1" x14ac:dyDescent="0.4"/>
    <row r="227" spans="3:25" ht="15" thickBot="1" x14ac:dyDescent="0.4">
      <c r="C227" s="483" t="s">
        <v>677</v>
      </c>
      <c r="D227" s="484" t="s">
        <v>678</v>
      </c>
      <c r="E227" s="481"/>
      <c r="F227" s="481"/>
      <c r="G227" s="482"/>
      <c r="H227" s="482"/>
      <c r="I227" s="482"/>
      <c r="J227" s="482"/>
      <c r="K227" s="482"/>
      <c r="L227" s="482"/>
      <c r="M227" s="482"/>
      <c r="N227" s="482"/>
      <c r="O227" s="481"/>
    </row>
    <row r="228" spans="3:25" ht="16" thickBot="1" x14ac:dyDescent="0.4">
      <c r="C228" s="487" t="s">
        <v>549</v>
      </c>
      <c r="D228" s="514" t="str">
        <f>VLOOKUP(C228,overview_of_services!$B$2:$I$123,3,FALSE)</f>
        <v>Fraud detection and losses calculation</v>
      </c>
      <c r="E228" s="489"/>
      <c r="F228" s="490" t="s">
        <v>680</v>
      </c>
      <c r="G228" s="578" t="str">
        <f>VLOOKUP(C228,overview_of_services!$B$2:$I$123,2,FALSE)</f>
        <v>DSM- Grid</v>
      </c>
      <c r="H228" s="578"/>
      <c r="I228" s="490"/>
      <c r="J228" s="491"/>
      <c r="K228" s="491"/>
      <c r="L228" s="491"/>
      <c r="M228" s="491"/>
      <c r="N228" s="491"/>
      <c r="O228" s="492"/>
      <c r="P228" s="492"/>
      <c r="Q228" s="492"/>
      <c r="R228" s="492" t="s">
        <v>681</v>
      </c>
      <c r="S228" s="492">
        <f>ROW()</f>
        <v>228</v>
      </c>
      <c r="T228" s="492"/>
      <c r="U228" s="492"/>
      <c r="V228" s="492"/>
      <c r="W228" s="492"/>
      <c r="X228" s="492"/>
      <c r="Y228" s="492"/>
    </row>
    <row r="229" spans="3:25" x14ac:dyDescent="0.35">
      <c r="C229" s="493"/>
      <c r="D229" s="493"/>
      <c r="E229" s="493"/>
      <c r="F229" s="493"/>
      <c r="G229" s="493"/>
      <c r="H229" s="493"/>
      <c r="I229" s="493"/>
      <c r="J229" s="493"/>
      <c r="K229" s="493"/>
      <c r="L229" s="493"/>
      <c r="M229" s="493"/>
      <c r="N229" s="493"/>
      <c r="O229" s="493"/>
      <c r="P229" s="481"/>
    </row>
    <row r="230" spans="3:25" x14ac:dyDescent="0.35">
      <c r="C230" s="575" t="s">
        <v>682</v>
      </c>
      <c r="D230" s="575"/>
      <c r="E230" s="577" t="s">
        <v>683</v>
      </c>
      <c r="F230" s="577"/>
      <c r="G230" s="577"/>
      <c r="H230" s="577"/>
      <c r="I230" s="577"/>
      <c r="J230" s="577"/>
      <c r="K230" s="577"/>
      <c r="L230" s="573" t="s">
        <v>684</v>
      </c>
      <c r="M230" s="574"/>
      <c r="N230" s="569" t="s">
        <v>685</v>
      </c>
      <c r="O230" s="571" t="s">
        <v>686</v>
      </c>
      <c r="P230" s="481"/>
    </row>
    <row r="231" spans="3:25" ht="29.5" thickBot="1" x14ac:dyDescent="0.4">
      <c r="C231" s="576"/>
      <c r="D231" s="576"/>
      <c r="E231" s="495" t="s">
        <v>687</v>
      </c>
      <c r="F231" s="495" t="s">
        <v>688</v>
      </c>
      <c r="G231" s="495" t="s">
        <v>689</v>
      </c>
      <c r="H231" s="495" t="s">
        <v>690</v>
      </c>
      <c r="I231" s="495" t="s">
        <v>616</v>
      </c>
      <c r="J231" s="495" t="s">
        <v>691</v>
      </c>
      <c r="K231" s="495" t="s">
        <v>692</v>
      </c>
      <c r="L231" s="496" t="s">
        <v>693</v>
      </c>
      <c r="M231" s="496" t="s">
        <v>694</v>
      </c>
      <c r="N231" s="570"/>
      <c r="O231" s="572"/>
      <c r="P231" s="481"/>
    </row>
    <row r="232" spans="3:25" ht="21.5" thickTop="1" x14ac:dyDescent="0.5">
      <c r="C232" s="497" t="s">
        <v>695</v>
      </c>
      <c r="D232" s="498" t="str">
        <f>VLOOKUP(C228,overview_of_services!$B$2:$I$123,4,FALSE)</f>
        <v>None</v>
      </c>
      <c r="E232" s="499">
        <v>0</v>
      </c>
      <c r="F232" s="499">
        <v>0</v>
      </c>
      <c r="G232" s="499">
        <v>0</v>
      </c>
      <c r="H232" s="499">
        <v>0</v>
      </c>
      <c r="I232" s="499">
        <v>0</v>
      </c>
      <c r="J232" s="499">
        <v>0</v>
      </c>
      <c r="K232" s="499">
        <v>0</v>
      </c>
      <c r="L232" s="530" t="s">
        <v>696</v>
      </c>
      <c r="M232" s="530" t="s">
        <v>696</v>
      </c>
      <c r="N232" s="531">
        <v>0</v>
      </c>
      <c r="O232" s="532" t="s">
        <v>721</v>
      </c>
      <c r="P232" s="504"/>
      <c r="Q232" s="503"/>
      <c r="R232" s="504">
        <f t="shared" ref="R232:X236" si="17">IF(E232=0,0,(IF(E232="+",1,(IF(E232="++",2,(IF(E232="+++",3,(IF(E232="++++",4,(IF(E232="-",-1,(IF(E232="--",-2,(IF(E232="---",-3,(IF(E232="----",-4,"NA")))))))))))))))))</f>
        <v>0</v>
      </c>
      <c r="S232" s="504">
        <f t="shared" si="17"/>
        <v>0</v>
      </c>
      <c r="T232" s="504">
        <f t="shared" si="17"/>
        <v>0</v>
      </c>
      <c r="U232" s="504">
        <f t="shared" si="17"/>
        <v>0</v>
      </c>
      <c r="V232" s="504">
        <f t="shared" si="17"/>
        <v>0</v>
      </c>
      <c r="W232" s="504">
        <f t="shared" si="17"/>
        <v>0</v>
      </c>
      <c r="X232" s="504">
        <f t="shared" si="17"/>
        <v>0</v>
      </c>
      <c r="Y232" s="503"/>
    </row>
    <row r="233" spans="3:25" ht="21" x14ac:dyDescent="0.5">
      <c r="C233" s="505" t="s">
        <v>699</v>
      </c>
      <c r="D233" s="506" t="str">
        <f>VLOOKUP(C228,overview_of_services!$B$2:$I$123,5,FALSE)</f>
        <v>local based detection of errors</v>
      </c>
      <c r="E233" s="499" t="s">
        <v>700</v>
      </c>
      <c r="F233" s="499">
        <v>0</v>
      </c>
      <c r="G233" s="499">
        <v>0</v>
      </c>
      <c r="H233" s="499">
        <v>0</v>
      </c>
      <c r="I233" s="499">
        <v>0</v>
      </c>
      <c r="J233" s="499" t="s">
        <v>700</v>
      </c>
      <c r="K233" s="499" t="s">
        <v>700</v>
      </c>
      <c r="L233" s="530" t="s">
        <v>700</v>
      </c>
      <c r="M233" s="530" t="s">
        <v>700</v>
      </c>
      <c r="N233" s="531" t="s">
        <v>791</v>
      </c>
      <c r="O233" s="532" t="s">
        <v>721</v>
      </c>
      <c r="P233" s="504"/>
      <c r="Q233" s="503"/>
      <c r="R233" s="504">
        <f t="shared" si="17"/>
        <v>1</v>
      </c>
      <c r="S233" s="504">
        <f t="shared" si="17"/>
        <v>0</v>
      </c>
      <c r="T233" s="504">
        <f t="shared" si="17"/>
        <v>0</v>
      </c>
      <c r="U233" s="504">
        <f t="shared" si="17"/>
        <v>0</v>
      </c>
      <c r="V233" s="504">
        <f t="shared" si="17"/>
        <v>0</v>
      </c>
      <c r="W233" s="504">
        <f t="shared" si="17"/>
        <v>1</v>
      </c>
      <c r="X233" s="504">
        <f t="shared" si="17"/>
        <v>1</v>
      </c>
      <c r="Y233" s="503"/>
    </row>
    <row r="234" spans="3:25" ht="21" x14ac:dyDescent="0.5">
      <c r="C234" s="505" t="s">
        <v>703</v>
      </c>
      <c r="D234" s="506" t="str">
        <f>VLOOKUP(C228,overview_of_services!$B$2:$I$123,6,FALSE)</f>
        <v>DSO optimised operations</v>
      </c>
      <c r="E234" s="499" t="s">
        <v>700</v>
      </c>
      <c r="F234" s="499">
        <v>0</v>
      </c>
      <c r="G234" s="499">
        <v>0</v>
      </c>
      <c r="H234" s="499">
        <v>0</v>
      </c>
      <c r="I234" s="499">
        <v>0</v>
      </c>
      <c r="J234" s="499" t="s">
        <v>700</v>
      </c>
      <c r="K234" s="499" t="s">
        <v>700</v>
      </c>
      <c r="L234" s="530" t="s">
        <v>697</v>
      </c>
      <c r="M234" s="530" t="s">
        <v>697</v>
      </c>
      <c r="N234" s="531" t="s">
        <v>796</v>
      </c>
      <c r="O234" s="532" t="s">
        <v>721</v>
      </c>
      <c r="P234" s="504"/>
      <c r="Q234" s="503"/>
      <c r="R234" s="504">
        <f t="shared" si="17"/>
        <v>1</v>
      </c>
      <c r="S234" s="504">
        <f t="shared" si="17"/>
        <v>0</v>
      </c>
      <c r="T234" s="504">
        <f t="shared" si="17"/>
        <v>0</v>
      </c>
      <c r="U234" s="504">
        <f t="shared" si="17"/>
        <v>0</v>
      </c>
      <c r="V234" s="504">
        <f t="shared" si="17"/>
        <v>0</v>
      </c>
      <c r="W234" s="504">
        <f t="shared" si="17"/>
        <v>1</v>
      </c>
      <c r="X234" s="504">
        <f t="shared" si="17"/>
        <v>1</v>
      </c>
      <c r="Y234" s="503"/>
    </row>
    <row r="235" spans="3:25" ht="21" x14ac:dyDescent="0.5">
      <c r="C235" s="505" t="s">
        <v>706</v>
      </c>
      <c r="D235" s="506">
        <f>VLOOKUP(C228,overview_of_services!$B$2:$I$123,7,FALSE)</f>
        <v>0</v>
      </c>
      <c r="E235" s="499"/>
      <c r="F235" s="499"/>
      <c r="G235" s="499"/>
      <c r="H235" s="499"/>
      <c r="I235" s="499"/>
      <c r="J235" s="499"/>
      <c r="K235" s="499"/>
      <c r="L235" s="500" t="s">
        <v>721</v>
      </c>
      <c r="M235" s="500" t="s">
        <v>721</v>
      </c>
      <c r="N235" s="501" t="s">
        <v>721</v>
      </c>
      <c r="O235" s="529" t="s">
        <v>721</v>
      </c>
      <c r="P235" s="504"/>
      <c r="Q235" s="503"/>
      <c r="R235" s="504">
        <f t="shared" si="17"/>
        <v>0</v>
      </c>
      <c r="S235" s="504">
        <f t="shared" si="17"/>
        <v>0</v>
      </c>
      <c r="T235" s="504">
        <f t="shared" si="17"/>
        <v>0</v>
      </c>
      <c r="U235" s="504">
        <f t="shared" si="17"/>
        <v>0</v>
      </c>
      <c r="V235" s="504">
        <f t="shared" si="17"/>
        <v>0</v>
      </c>
      <c r="W235" s="504">
        <f t="shared" si="17"/>
        <v>0</v>
      </c>
      <c r="X235" s="504">
        <f t="shared" si="17"/>
        <v>0</v>
      </c>
      <c r="Y235" s="503"/>
    </row>
    <row r="236" spans="3:25" ht="21" x14ac:dyDescent="0.5">
      <c r="C236" s="505" t="s">
        <v>710</v>
      </c>
      <c r="D236" s="506">
        <f>VLOOKUP(C228,overview_of_services!$B$2:$I$123,8,FALSE)</f>
        <v>0</v>
      </c>
      <c r="E236" s="507"/>
      <c r="F236" s="499"/>
      <c r="G236" s="507"/>
      <c r="H236" s="507"/>
      <c r="I236" s="499"/>
      <c r="J236" s="499"/>
      <c r="K236" s="499"/>
      <c r="L236" s="500" t="s">
        <v>721</v>
      </c>
      <c r="M236" s="500" t="s">
        <v>721</v>
      </c>
      <c r="N236" s="501" t="s">
        <v>721</v>
      </c>
      <c r="O236" s="529" t="s">
        <v>721</v>
      </c>
      <c r="P236" s="504"/>
      <c r="Q236" s="503"/>
      <c r="R236" s="504">
        <f t="shared" si="17"/>
        <v>0</v>
      </c>
      <c r="S236" s="504">
        <f t="shared" si="17"/>
        <v>0</v>
      </c>
      <c r="T236" s="504">
        <f t="shared" si="17"/>
        <v>0</v>
      </c>
      <c r="U236" s="504">
        <f t="shared" si="17"/>
        <v>0</v>
      </c>
      <c r="V236" s="504">
        <f t="shared" si="17"/>
        <v>0</v>
      </c>
      <c r="W236" s="504">
        <f t="shared" si="17"/>
        <v>0</v>
      </c>
      <c r="X236" s="504">
        <f t="shared" si="17"/>
        <v>0</v>
      </c>
      <c r="Y236" s="503"/>
    </row>
    <row r="237" spans="3:25" ht="15" thickBot="1" x14ac:dyDescent="0.4">
      <c r="C237" s="504"/>
      <c r="D237" s="504"/>
      <c r="E237" s="508"/>
      <c r="F237" s="508"/>
      <c r="G237" s="508"/>
      <c r="H237" s="508"/>
      <c r="I237" s="508"/>
      <c r="J237" s="508"/>
      <c r="K237" s="508"/>
      <c r="L237" s="504"/>
      <c r="M237" s="504"/>
      <c r="N237" s="504"/>
      <c r="O237" s="504"/>
      <c r="P237" s="504"/>
      <c r="Q237" s="503"/>
      <c r="R237" s="503"/>
      <c r="S237" s="503"/>
      <c r="T237" s="503"/>
      <c r="U237" s="503"/>
      <c r="V237" s="503"/>
      <c r="W237" s="503"/>
      <c r="X237" s="503"/>
      <c r="Y237" s="503"/>
    </row>
    <row r="238" spans="3:25" ht="15" thickBot="1" x14ac:dyDescent="0.4">
      <c r="C238" s="509"/>
      <c r="D238" s="509" t="s">
        <v>712</v>
      </c>
      <c r="E238" s="511" t="s">
        <v>729</v>
      </c>
      <c r="F238" s="511" t="s">
        <v>729</v>
      </c>
      <c r="G238" s="511" t="s">
        <v>729</v>
      </c>
      <c r="H238" s="511" t="s">
        <v>729</v>
      </c>
      <c r="I238" s="511" t="s">
        <v>729</v>
      </c>
      <c r="J238" s="511" t="s">
        <v>729</v>
      </c>
      <c r="K238" s="511" t="s">
        <v>729</v>
      </c>
      <c r="L238" s="511" t="s">
        <v>729</v>
      </c>
      <c r="M238" s="511" t="s">
        <v>729</v>
      </c>
      <c r="N238" s="511" t="s">
        <v>729</v>
      </c>
      <c r="O238" s="513"/>
      <c r="P238" s="504"/>
      <c r="Q238" s="503"/>
      <c r="R238" s="503"/>
      <c r="S238" s="503"/>
      <c r="T238" s="503"/>
      <c r="U238" s="503"/>
      <c r="V238" s="503"/>
      <c r="W238" s="503"/>
      <c r="X238" s="503"/>
      <c r="Y238" s="503"/>
    </row>
    <row r="239" spans="3:25" ht="15" thickBot="1" x14ac:dyDescent="0.4">
      <c r="C239" s="509"/>
      <c r="D239" s="509" t="s">
        <v>714</v>
      </c>
      <c r="E239" s="510"/>
      <c r="F239" s="512"/>
      <c r="G239" s="511"/>
      <c r="H239" s="511"/>
      <c r="I239" s="511"/>
      <c r="J239" s="511"/>
      <c r="K239" s="511"/>
      <c r="L239" s="517"/>
      <c r="M239" s="518"/>
      <c r="N239" s="513"/>
      <c r="O239" s="513"/>
      <c r="P239" s="504"/>
      <c r="Q239" s="503"/>
      <c r="R239" s="503"/>
      <c r="S239" s="503"/>
      <c r="T239" s="503"/>
      <c r="U239" s="503"/>
      <c r="V239" s="503"/>
      <c r="W239" s="503"/>
      <c r="X239" s="503"/>
      <c r="Y239" s="503"/>
    </row>
    <row r="240" spans="3:25" ht="15" thickBot="1" x14ac:dyDescent="0.4"/>
    <row r="241" spans="3:25" ht="15" thickBot="1" x14ac:dyDescent="0.4">
      <c r="C241" s="483" t="s">
        <v>677</v>
      </c>
      <c r="D241" s="484" t="s">
        <v>678</v>
      </c>
      <c r="E241" s="481"/>
      <c r="F241" s="481"/>
      <c r="G241" s="482"/>
      <c r="H241" s="482"/>
      <c r="I241" s="482"/>
      <c r="J241" s="482"/>
      <c r="K241" s="482"/>
      <c r="L241" s="482"/>
      <c r="M241" s="482"/>
      <c r="N241" s="482"/>
      <c r="O241" s="481"/>
    </row>
    <row r="242" spans="3:25" ht="16" thickBot="1" x14ac:dyDescent="0.4">
      <c r="C242" s="487" t="s">
        <v>551</v>
      </c>
      <c r="D242" s="514" t="str">
        <f>VLOOKUP(C242,overview_of_services!$B$2:$I$123,3,FALSE)</f>
        <v>Neighbourhood energy efficiency calculation</v>
      </c>
      <c r="E242" s="489"/>
      <c r="F242" s="490" t="s">
        <v>680</v>
      </c>
      <c r="G242" s="578" t="str">
        <f>VLOOKUP(C242,overview_of_services!$B$2:$I$123,2,FALSE)</f>
        <v>DSM - Local Systems</v>
      </c>
      <c r="H242" s="578"/>
      <c r="I242" s="490"/>
      <c r="J242" s="491"/>
      <c r="K242" s="491"/>
      <c r="L242" s="491"/>
      <c r="M242" s="491"/>
      <c r="N242" s="491"/>
      <c r="O242" s="492"/>
      <c r="P242" s="492"/>
      <c r="Q242" s="492"/>
      <c r="R242" s="492" t="s">
        <v>681</v>
      </c>
      <c r="S242" s="492">
        <f>ROW()</f>
        <v>242</v>
      </c>
      <c r="T242" s="492"/>
      <c r="U242" s="492"/>
      <c r="V242" s="492"/>
      <c r="W242" s="492"/>
      <c r="X242" s="492"/>
      <c r="Y242" s="492"/>
    </row>
    <row r="243" spans="3:25" x14ac:dyDescent="0.35">
      <c r="C243" s="493"/>
      <c r="D243" s="493"/>
      <c r="E243" s="493"/>
      <c r="F243" s="493"/>
      <c r="G243" s="493"/>
      <c r="H243" s="493"/>
      <c r="I243" s="493"/>
      <c r="J243" s="493"/>
      <c r="K243" s="493"/>
      <c r="L243" s="493"/>
      <c r="M243" s="493"/>
      <c r="N243" s="493"/>
      <c r="O243" s="493"/>
      <c r="P243" s="481"/>
    </row>
    <row r="244" spans="3:25" x14ac:dyDescent="0.35">
      <c r="C244" s="575" t="s">
        <v>682</v>
      </c>
      <c r="D244" s="575"/>
      <c r="E244" s="577" t="s">
        <v>683</v>
      </c>
      <c r="F244" s="577"/>
      <c r="G244" s="577"/>
      <c r="H244" s="577"/>
      <c r="I244" s="577"/>
      <c r="J244" s="577"/>
      <c r="K244" s="577"/>
      <c r="L244" s="573" t="s">
        <v>684</v>
      </c>
      <c r="M244" s="574"/>
      <c r="N244" s="569" t="s">
        <v>685</v>
      </c>
      <c r="O244" s="571" t="s">
        <v>686</v>
      </c>
      <c r="P244" s="481"/>
    </row>
    <row r="245" spans="3:25" ht="29.5" thickBot="1" x14ac:dyDescent="0.4">
      <c r="C245" s="576"/>
      <c r="D245" s="576"/>
      <c r="E245" s="495" t="s">
        <v>687</v>
      </c>
      <c r="F245" s="495" t="s">
        <v>688</v>
      </c>
      <c r="G245" s="495" t="s">
        <v>689</v>
      </c>
      <c r="H245" s="495" t="s">
        <v>690</v>
      </c>
      <c r="I245" s="495" t="s">
        <v>616</v>
      </c>
      <c r="J245" s="495" t="s">
        <v>691</v>
      </c>
      <c r="K245" s="495" t="s">
        <v>692</v>
      </c>
      <c r="L245" s="496" t="s">
        <v>693</v>
      </c>
      <c r="M245" s="496" t="s">
        <v>694</v>
      </c>
      <c r="N245" s="570"/>
      <c r="O245" s="572"/>
      <c r="P245" s="481"/>
    </row>
    <row r="246" spans="3:25" ht="21.5" thickTop="1" x14ac:dyDescent="0.5">
      <c r="C246" s="497" t="s">
        <v>695</v>
      </c>
      <c r="D246" s="498" t="str">
        <f>VLOOKUP(C242,overview_of_services!$B$2:$I$123,4,FALSE)</f>
        <v>None</v>
      </c>
      <c r="E246" s="499">
        <v>0</v>
      </c>
      <c r="F246" s="499">
        <v>0</v>
      </c>
      <c r="G246" s="499">
        <v>0</v>
      </c>
      <c r="H246" s="499">
        <v>0</v>
      </c>
      <c r="I246" s="499">
        <v>0</v>
      </c>
      <c r="J246" s="499">
        <v>0</v>
      </c>
      <c r="K246" s="499">
        <v>0</v>
      </c>
      <c r="L246" s="530" t="s">
        <v>696</v>
      </c>
      <c r="M246" s="530" t="s">
        <v>696</v>
      </c>
      <c r="N246" s="531">
        <v>0</v>
      </c>
      <c r="O246" s="532" t="s">
        <v>721</v>
      </c>
      <c r="P246" s="504"/>
      <c r="Q246" s="503"/>
      <c r="R246" s="504">
        <f t="shared" ref="R246:X250" si="18">IF(E246=0,0,(IF(E246="+",1,(IF(E246="++",2,(IF(E246="+++",3,(IF(E246="++++",4,(IF(E246="-",-1,(IF(E246="--",-2,(IF(E246="---",-3,(IF(E246="----",-4,"NA")))))))))))))))))</f>
        <v>0</v>
      </c>
      <c r="S246" s="504">
        <f t="shared" si="18"/>
        <v>0</v>
      </c>
      <c r="T246" s="504">
        <f t="shared" si="18"/>
        <v>0</v>
      </c>
      <c r="U246" s="504">
        <f t="shared" si="18"/>
        <v>0</v>
      </c>
      <c r="V246" s="504">
        <f t="shared" si="18"/>
        <v>0</v>
      </c>
      <c r="W246" s="504">
        <f t="shared" si="18"/>
        <v>0</v>
      </c>
      <c r="X246" s="504">
        <f t="shared" si="18"/>
        <v>0</v>
      </c>
      <c r="Y246" s="503"/>
    </row>
    <row r="247" spans="3:25" ht="21" x14ac:dyDescent="0.5">
      <c r="C247" s="505" t="s">
        <v>699</v>
      </c>
      <c r="D247" s="506" t="str">
        <f>VLOOKUP(C242,overview_of_services!$B$2:$I$123,5,FALSE)</f>
        <v>local optimization</v>
      </c>
      <c r="E247" s="499" t="s">
        <v>700</v>
      </c>
      <c r="F247" s="499" t="s">
        <v>700</v>
      </c>
      <c r="G247" s="499">
        <v>0</v>
      </c>
      <c r="H247" s="499">
        <v>0</v>
      </c>
      <c r="I247" s="499">
        <v>0</v>
      </c>
      <c r="J247" s="499" t="s">
        <v>697</v>
      </c>
      <c r="K247" s="499">
        <v>0</v>
      </c>
      <c r="L247" s="530">
        <v>0</v>
      </c>
      <c r="M247" s="530" t="s">
        <v>700</v>
      </c>
      <c r="N247" s="531" t="s">
        <v>796</v>
      </c>
      <c r="O247" s="532" t="s">
        <v>721</v>
      </c>
      <c r="P247" s="504"/>
      <c r="Q247" s="503"/>
      <c r="R247" s="504">
        <f t="shared" si="18"/>
        <v>1</v>
      </c>
      <c r="S247" s="504">
        <f t="shared" si="18"/>
        <v>1</v>
      </c>
      <c r="T247" s="504">
        <f t="shared" si="18"/>
        <v>0</v>
      </c>
      <c r="U247" s="504">
        <f t="shared" si="18"/>
        <v>0</v>
      </c>
      <c r="V247" s="504">
        <f t="shared" si="18"/>
        <v>0</v>
      </c>
      <c r="W247" s="504">
        <f t="shared" si="18"/>
        <v>-1</v>
      </c>
      <c r="X247" s="504">
        <f t="shared" si="18"/>
        <v>0</v>
      </c>
      <c r="Y247" s="503"/>
    </row>
    <row r="248" spans="3:25" ht="21" x14ac:dyDescent="0.5">
      <c r="C248" s="505" t="s">
        <v>703</v>
      </c>
      <c r="D248" s="506" t="str">
        <f>VLOOKUP(C242,overview_of_services!$B$2:$I$123,6,FALSE)</f>
        <v>data exchange for local swarm and optimization</v>
      </c>
      <c r="E248" s="499" t="s">
        <v>704</v>
      </c>
      <c r="F248" s="499" t="s">
        <v>704</v>
      </c>
      <c r="G248" s="499">
        <v>0</v>
      </c>
      <c r="H248" s="499">
        <v>0</v>
      </c>
      <c r="I248" s="499">
        <v>0</v>
      </c>
      <c r="J248" s="499" t="s">
        <v>697</v>
      </c>
      <c r="K248" s="499">
        <v>0</v>
      </c>
      <c r="L248" s="530">
        <v>0</v>
      </c>
      <c r="M248" s="530">
        <v>0</v>
      </c>
      <c r="N248" s="531" t="s">
        <v>796</v>
      </c>
      <c r="O248" s="532" t="s">
        <v>721</v>
      </c>
      <c r="P248" s="504"/>
      <c r="Q248" s="503"/>
      <c r="R248" s="504">
        <f t="shared" si="18"/>
        <v>2</v>
      </c>
      <c r="S248" s="504">
        <f t="shared" si="18"/>
        <v>2</v>
      </c>
      <c r="T248" s="504">
        <f t="shared" si="18"/>
        <v>0</v>
      </c>
      <c r="U248" s="504">
        <f t="shared" si="18"/>
        <v>0</v>
      </c>
      <c r="V248" s="504">
        <f t="shared" si="18"/>
        <v>0</v>
      </c>
      <c r="W248" s="504">
        <f t="shared" si="18"/>
        <v>-1</v>
      </c>
      <c r="X248" s="504">
        <f t="shared" si="18"/>
        <v>0</v>
      </c>
      <c r="Y248" s="503"/>
    </row>
    <row r="249" spans="3:25" ht="30" customHeight="1" x14ac:dyDescent="0.5">
      <c r="C249" s="505" t="s">
        <v>706</v>
      </c>
      <c r="D249" s="506" t="str">
        <f>VLOOKUP(C242,overview_of_services!$B$2:$I$123,7,FALSE)</f>
        <v>data exchange for local swarm and optimization for DSP vpp control</v>
      </c>
      <c r="E249" s="499" t="s">
        <v>704</v>
      </c>
      <c r="F249" s="499" t="s">
        <v>704</v>
      </c>
      <c r="G249" s="499">
        <v>0</v>
      </c>
      <c r="H249" s="499">
        <v>0</v>
      </c>
      <c r="I249" s="499">
        <v>0</v>
      </c>
      <c r="J249" s="499" t="s">
        <v>697</v>
      </c>
      <c r="K249" s="499">
        <v>0</v>
      </c>
      <c r="L249" s="530">
        <v>0</v>
      </c>
      <c r="M249" s="530">
        <v>0</v>
      </c>
      <c r="N249" s="531" t="s">
        <v>796</v>
      </c>
      <c r="O249" s="529" t="s">
        <v>721</v>
      </c>
      <c r="P249" s="504"/>
      <c r="Q249" s="503"/>
      <c r="R249" s="504">
        <f t="shared" si="18"/>
        <v>2</v>
      </c>
      <c r="S249" s="504">
        <f t="shared" si="18"/>
        <v>2</v>
      </c>
      <c r="T249" s="504">
        <f t="shared" si="18"/>
        <v>0</v>
      </c>
      <c r="U249" s="504">
        <f t="shared" si="18"/>
        <v>0</v>
      </c>
      <c r="V249" s="504">
        <f t="shared" si="18"/>
        <v>0</v>
      </c>
      <c r="W249" s="504">
        <f t="shared" si="18"/>
        <v>-1</v>
      </c>
      <c r="X249" s="504">
        <f t="shared" si="18"/>
        <v>0</v>
      </c>
      <c r="Y249" s="503"/>
    </row>
    <row r="250" spans="3:25" ht="21" x14ac:dyDescent="0.5">
      <c r="C250" s="505" t="s">
        <v>710</v>
      </c>
      <c r="D250" s="506">
        <f>VLOOKUP(C242,overview_of_services!$B$2:$I$123,8,FALSE)</f>
        <v>0</v>
      </c>
      <c r="E250" s="507"/>
      <c r="F250" s="499"/>
      <c r="G250" s="507"/>
      <c r="H250" s="507"/>
      <c r="I250" s="499"/>
      <c r="J250" s="499"/>
      <c r="K250" s="499"/>
      <c r="L250" s="500" t="s">
        <v>721</v>
      </c>
      <c r="M250" s="500" t="s">
        <v>721</v>
      </c>
      <c r="N250" s="501" t="s">
        <v>721</v>
      </c>
      <c r="O250" s="529" t="s">
        <v>721</v>
      </c>
      <c r="P250" s="504"/>
      <c r="Q250" s="503"/>
      <c r="R250" s="504">
        <f t="shared" si="18"/>
        <v>0</v>
      </c>
      <c r="S250" s="504">
        <f t="shared" si="18"/>
        <v>0</v>
      </c>
      <c r="T250" s="504">
        <f t="shared" si="18"/>
        <v>0</v>
      </c>
      <c r="U250" s="504">
        <f t="shared" si="18"/>
        <v>0</v>
      </c>
      <c r="V250" s="504">
        <f t="shared" si="18"/>
        <v>0</v>
      </c>
      <c r="W250" s="504">
        <f t="shared" si="18"/>
        <v>0</v>
      </c>
      <c r="X250" s="504">
        <f t="shared" si="18"/>
        <v>0</v>
      </c>
      <c r="Y250" s="503"/>
    </row>
    <row r="251" spans="3:25" ht="15" thickBot="1" x14ac:dyDescent="0.4">
      <c r="C251" s="504"/>
      <c r="D251" s="504"/>
      <c r="E251" s="508"/>
      <c r="F251" s="508"/>
      <c r="G251" s="508"/>
      <c r="H251" s="508"/>
      <c r="I251" s="508"/>
      <c r="J251" s="508"/>
      <c r="K251" s="508"/>
      <c r="L251" s="504"/>
      <c r="M251" s="504"/>
      <c r="N251" s="504"/>
      <c r="O251" s="504"/>
      <c r="P251" s="504"/>
      <c r="Q251" s="503"/>
      <c r="R251" s="503"/>
      <c r="S251" s="503"/>
      <c r="T251" s="503"/>
      <c r="U251" s="503"/>
      <c r="V251" s="503"/>
      <c r="W251" s="503"/>
      <c r="X251" s="503"/>
      <c r="Y251" s="503"/>
    </row>
    <row r="252" spans="3:25" ht="15" thickBot="1" x14ac:dyDescent="0.4">
      <c r="C252" s="509"/>
      <c r="D252" s="509" t="s">
        <v>712</v>
      </c>
      <c r="E252" s="511" t="s">
        <v>729</v>
      </c>
      <c r="F252" s="511" t="s">
        <v>729</v>
      </c>
      <c r="G252" s="511" t="s">
        <v>729</v>
      </c>
      <c r="H252" s="511" t="s">
        <v>729</v>
      </c>
      <c r="I252" s="511" t="s">
        <v>729</v>
      </c>
      <c r="J252" s="511" t="s">
        <v>729</v>
      </c>
      <c r="K252" s="511" t="s">
        <v>729</v>
      </c>
      <c r="L252" s="511" t="s">
        <v>729</v>
      </c>
      <c r="M252" s="511" t="s">
        <v>729</v>
      </c>
      <c r="N252" s="511" t="s">
        <v>729</v>
      </c>
      <c r="O252" s="513"/>
      <c r="P252" s="504"/>
      <c r="Q252" s="503"/>
      <c r="R252" s="503"/>
      <c r="S252" s="503"/>
      <c r="T252" s="503"/>
      <c r="U252" s="503"/>
      <c r="V252" s="503"/>
      <c r="W252" s="503"/>
      <c r="X252" s="503"/>
      <c r="Y252" s="503"/>
    </row>
    <row r="253" spans="3:25" ht="15" thickBot="1" x14ac:dyDescent="0.4">
      <c r="C253" s="509"/>
      <c r="D253" s="509" t="s">
        <v>714</v>
      </c>
      <c r="E253" s="510" t="s">
        <v>803</v>
      </c>
      <c r="F253" s="512"/>
      <c r="G253" s="511"/>
      <c r="H253" s="511"/>
      <c r="I253" s="511"/>
      <c r="J253" s="510" t="s">
        <v>803</v>
      </c>
      <c r="K253" s="510" t="s">
        <v>803</v>
      </c>
      <c r="L253" s="517"/>
      <c r="M253" s="518"/>
      <c r="N253" s="513"/>
      <c r="O253" s="513"/>
      <c r="P253" s="504"/>
      <c r="Q253" s="503"/>
      <c r="R253" s="503"/>
      <c r="S253" s="503"/>
      <c r="T253" s="503"/>
      <c r="U253" s="503"/>
      <c r="V253" s="503"/>
      <c r="W253" s="503"/>
      <c r="X253" s="503"/>
      <c r="Y253" s="503"/>
    </row>
    <row r="254" spans="3:25" ht="15" thickBot="1" x14ac:dyDescent="0.4"/>
    <row r="255" spans="3:25" ht="15" thickBot="1" x14ac:dyDescent="0.4">
      <c r="C255" s="483" t="s">
        <v>677</v>
      </c>
      <c r="D255" s="484" t="s">
        <v>678</v>
      </c>
      <c r="E255" s="481"/>
      <c r="F255" s="481"/>
      <c r="G255" s="482"/>
      <c r="H255" s="482"/>
      <c r="I255" s="482"/>
      <c r="J255" s="482"/>
      <c r="K255" s="482"/>
      <c r="L255" s="482"/>
      <c r="M255" s="482"/>
      <c r="N255" s="482"/>
      <c r="O255" s="481"/>
    </row>
    <row r="256" spans="3:25" ht="16" thickBot="1" x14ac:dyDescent="0.4">
      <c r="C256" s="487" t="s">
        <v>555</v>
      </c>
      <c r="D256" s="514" t="str">
        <f>VLOOKUP(C256,overview_of_services!$B$2:$I$123,3,FALSE)</f>
        <v>Demand prediction</v>
      </c>
      <c r="E256" s="489"/>
      <c r="F256" s="490" t="s">
        <v>680</v>
      </c>
      <c r="G256" s="578" t="str">
        <f>VLOOKUP(C256,overview_of_services!$B$2:$I$123,2,FALSE)</f>
        <v>DSM- Grid</v>
      </c>
      <c r="H256" s="578"/>
      <c r="I256" s="490"/>
      <c r="J256" s="491"/>
      <c r="K256" s="491"/>
      <c r="L256" s="491"/>
      <c r="M256" s="491"/>
      <c r="N256" s="491"/>
      <c r="O256" s="492"/>
      <c r="P256" s="492"/>
      <c r="Q256" s="492"/>
      <c r="R256" s="492" t="s">
        <v>681</v>
      </c>
      <c r="S256" s="492">
        <f>ROW()</f>
        <v>256</v>
      </c>
      <c r="T256" s="492"/>
      <c r="U256" s="492"/>
      <c r="V256" s="492"/>
      <c r="W256" s="492"/>
      <c r="X256" s="492"/>
      <c r="Y256" s="492"/>
    </row>
    <row r="257" spans="3:25" x14ac:dyDescent="0.35">
      <c r="C257" s="493"/>
      <c r="D257" s="493"/>
      <c r="E257" s="493"/>
      <c r="F257" s="493"/>
      <c r="G257" s="493"/>
      <c r="H257" s="493"/>
      <c r="I257" s="493"/>
      <c r="J257" s="493"/>
      <c r="K257" s="493"/>
      <c r="L257" s="493"/>
      <c r="M257" s="493"/>
      <c r="N257" s="493"/>
      <c r="O257" s="493"/>
      <c r="P257" s="481"/>
    </row>
    <row r="258" spans="3:25" x14ac:dyDescent="0.35">
      <c r="C258" s="575" t="s">
        <v>682</v>
      </c>
      <c r="D258" s="575"/>
      <c r="E258" s="577" t="s">
        <v>683</v>
      </c>
      <c r="F258" s="577"/>
      <c r="G258" s="577"/>
      <c r="H258" s="577"/>
      <c r="I258" s="577"/>
      <c r="J258" s="577"/>
      <c r="K258" s="577"/>
      <c r="L258" s="573" t="s">
        <v>684</v>
      </c>
      <c r="M258" s="574"/>
      <c r="N258" s="569" t="s">
        <v>685</v>
      </c>
      <c r="O258" s="571" t="s">
        <v>686</v>
      </c>
      <c r="P258" s="481"/>
    </row>
    <row r="259" spans="3:25" ht="29.5" thickBot="1" x14ac:dyDescent="0.4">
      <c r="C259" s="576"/>
      <c r="D259" s="576"/>
      <c r="E259" s="495" t="s">
        <v>687</v>
      </c>
      <c r="F259" s="495" t="s">
        <v>688</v>
      </c>
      <c r="G259" s="495" t="s">
        <v>689</v>
      </c>
      <c r="H259" s="495" t="s">
        <v>690</v>
      </c>
      <c r="I259" s="495" t="s">
        <v>616</v>
      </c>
      <c r="J259" s="495" t="s">
        <v>691</v>
      </c>
      <c r="K259" s="495" t="s">
        <v>692</v>
      </c>
      <c r="L259" s="496" t="s">
        <v>693</v>
      </c>
      <c r="M259" s="496" t="s">
        <v>694</v>
      </c>
      <c r="N259" s="570"/>
      <c r="O259" s="572"/>
      <c r="P259" s="481"/>
    </row>
    <row r="260" spans="3:25" ht="21.5" thickTop="1" x14ac:dyDescent="0.5">
      <c r="C260" s="497" t="s">
        <v>695</v>
      </c>
      <c r="D260" s="498" t="str">
        <f>VLOOKUP(C256,overview_of_services!$B$2:$I$123,4,FALSE)</f>
        <v>None</v>
      </c>
      <c r="E260" s="499">
        <v>0</v>
      </c>
      <c r="F260" s="499">
        <v>0</v>
      </c>
      <c r="G260" s="499">
        <v>0</v>
      </c>
      <c r="H260" s="499">
        <v>0</v>
      </c>
      <c r="I260" s="499">
        <v>0</v>
      </c>
      <c r="J260" s="499">
        <v>0</v>
      </c>
      <c r="K260" s="499">
        <v>0</v>
      </c>
      <c r="L260" s="530" t="s">
        <v>696</v>
      </c>
      <c r="M260" s="530" t="s">
        <v>696</v>
      </c>
      <c r="N260" s="531">
        <v>0</v>
      </c>
      <c r="O260" s="532" t="s">
        <v>721</v>
      </c>
      <c r="P260" s="504"/>
      <c r="Q260" s="503"/>
      <c r="R260" s="504">
        <f t="shared" ref="R260:X264" si="19">IF(E260=0,0,(IF(E260="+",1,(IF(E260="++",2,(IF(E260="+++",3,(IF(E260="++++",4,(IF(E260="-",-1,(IF(E260="--",-2,(IF(E260="---",-3,(IF(E260="----",-4,"NA")))))))))))))))))</f>
        <v>0</v>
      </c>
      <c r="S260" s="504">
        <f t="shared" si="19"/>
        <v>0</v>
      </c>
      <c r="T260" s="504">
        <f t="shared" si="19"/>
        <v>0</v>
      </c>
      <c r="U260" s="504">
        <f t="shared" si="19"/>
        <v>0</v>
      </c>
      <c r="V260" s="504">
        <f t="shared" si="19"/>
        <v>0</v>
      </c>
      <c r="W260" s="504">
        <f t="shared" si="19"/>
        <v>0</v>
      </c>
      <c r="X260" s="504">
        <f t="shared" si="19"/>
        <v>0</v>
      </c>
      <c r="Y260" s="503"/>
    </row>
    <row r="261" spans="3:25" ht="21" x14ac:dyDescent="0.5">
      <c r="C261" s="505" t="s">
        <v>699</v>
      </c>
      <c r="D261" s="506" t="str">
        <f>VLOOKUP(C256,overview_of_services!$B$2:$I$123,5,FALSE)</f>
        <v>local optimization</v>
      </c>
      <c r="E261" s="499" t="s">
        <v>700</v>
      </c>
      <c r="F261" s="499" t="s">
        <v>700</v>
      </c>
      <c r="G261" s="499">
        <v>0</v>
      </c>
      <c r="H261" s="499" t="s">
        <v>700</v>
      </c>
      <c r="I261" s="499">
        <v>0</v>
      </c>
      <c r="J261" s="499" t="s">
        <v>697</v>
      </c>
      <c r="K261" s="499">
        <v>0</v>
      </c>
      <c r="L261" s="530" t="s">
        <v>700</v>
      </c>
      <c r="M261" s="530" t="s">
        <v>704</v>
      </c>
      <c r="N261" s="531" t="s">
        <v>791</v>
      </c>
      <c r="O261" s="532" t="s">
        <v>721</v>
      </c>
      <c r="P261" s="504"/>
      <c r="Q261" s="503"/>
      <c r="R261" s="504">
        <f t="shared" si="19"/>
        <v>1</v>
      </c>
      <c r="S261" s="504">
        <f t="shared" si="19"/>
        <v>1</v>
      </c>
      <c r="T261" s="504">
        <f t="shared" si="19"/>
        <v>0</v>
      </c>
      <c r="U261" s="504">
        <f t="shared" si="19"/>
        <v>1</v>
      </c>
      <c r="V261" s="504">
        <f t="shared" si="19"/>
        <v>0</v>
      </c>
      <c r="W261" s="504">
        <f t="shared" si="19"/>
        <v>-1</v>
      </c>
      <c r="X261" s="504">
        <f t="shared" si="19"/>
        <v>0</v>
      </c>
      <c r="Y261" s="503"/>
    </row>
    <row r="262" spans="3:25" ht="21" x14ac:dyDescent="0.5">
      <c r="C262" s="505" t="s">
        <v>703</v>
      </c>
      <c r="D262" s="506" t="str">
        <f>VLOOKUP(C256,overview_of_services!$B$2:$I$123,6,FALSE)</f>
        <v>adaptive load forecast</v>
      </c>
      <c r="E262" s="499" t="s">
        <v>700</v>
      </c>
      <c r="F262" s="499" t="s">
        <v>700</v>
      </c>
      <c r="G262" s="499">
        <v>0</v>
      </c>
      <c r="H262" s="499" t="s">
        <v>700</v>
      </c>
      <c r="I262" s="499">
        <v>0</v>
      </c>
      <c r="J262" s="499" t="s">
        <v>697</v>
      </c>
      <c r="K262" s="499">
        <v>0</v>
      </c>
      <c r="L262" s="530" t="s">
        <v>700</v>
      </c>
      <c r="M262" s="530" t="s">
        <v>704</v>
      </c>
      <c r="N262" s="531" t="s">
        <v>809</v>
      </c>
      <c r="O262" s="532" t="s">
        <v>721</v>
      </c>
      <c r="P262" s="504"/>
      <c r="Q262" s="503"/>
      <c r="R262" s="504">
        <f t="shared" si="19"/>
        <v>1</v>
      </c>
      <c r="S262" s="504">
        <f t="shared" si="19"/>
        <v>1</v>
      </c>
      <c r="T262" s="504">
        <f t="shared" si="19"/>
        <v>0</v>
      </c>
      <c r="U262" s="504">
        <f t="shared" si="19"/>
        <v>1</v>
      </c>
      <c r="V262" s="504">
        <f t="shared" si="19"/>
        <v>0</v>
      </c>
      <c r="W262" s="504">
        <f t="shared" si="19"/>
        <v>-1</v>
      </c>
      <c r="X262" s="504">
        <f t="shared" si="19"/>
        <v>0</v>
      </c>
      <c r="Y262" s="503"/>
    </row>
    <row r="263" spans="3:25" ht="21" x14ac:dyDescent="0.5">
      <c r="C263" s="505" t="s">
        <v>706</v>
      </c>
      <c r="D263" s="506">
        <f>VLOOKUP(C256,overview_of_services!$B$2:$I$123,7,FALSE)</f>
        <v>0</v>
      </c>
      <c r="E263" s="499"/>
      <c r="F263" s="499"/>
      <c r="G263" s="499"/>
      <c r="H263" s="499"/>
      <c r="I263" s="499"/>
      <c r="J263" s="499"/>
      <c r="K263" s="499"/>
      <c r="L263" s="500" t="s">
        <v>721</v>
      </c>
      <c r="M263" s="500" t="s">
        <v>721</v>
      </c>
      <c r="N263" s="501" t="s">
        <v>721</v>
      </c>
      <c r="O263" s="529" t="s">
        <v>721</v>
      </c>
      <c r="P263" s="504"/>
      <c r="Q263" s="503"/>
      <c r="R263" s="504">
        <f t="shared" si="19"/>
        <v>0</v>
      </c>
      <c r="S263" s="504">
        <f t="shared" si="19"/>
        <v>0</v>
      </c>
      <c r="T263" s="504">
        <f t="shared" si="19"/>
        <v>0</v>
      </c>
      <c r="U263" s="504">
        <f t="shared" si="19"/>
        <v>0</v>
      </c>
      <c r="V263" s="504">
        <f t="shared" si="19"/>
        <v>0</v>
      </c>
      <c r="W263" s="504">
        <f t="shared" si="19"/>
        <v>0</v>
      </c>
      <c r="X263" s="504">
        <f t="shared" si="19"/>
        <v>0</v>
      </c>
      <c r="Y263" s="503"/>
    </row>
    <row r="264" spans="3:25" ht="21" x14ac:dyDescent="0.5">
      <c r="C264" s="505" t="s">
        <v>710</v>
      </c>
      <c r="D264" s="506">
        <f>VLOOKUP(C256,overview_of_services!$B$2:$I$123,8,FALSE)</f>
        <v>0</v>
      </c>
      <c r="E264" s="507"/>
      <c r="F264" s="499"/>
      <c r="G264" s="507"/>
      <c r="H264" s="507"/>
      <c r="I264" s="499"/>
      <c r="J264" s="499"/>
      <c r="K264" s="499"/>
      <c r="L264" s="500" t="s">
        <v>721</v>
      </c>
      <c r="M264" s="500" t="s">
        <v>721</v>
      </c>
      <c r="N264" s="501" t="s">
        <v>721</v>
      </c>
      <c r="O264" s="529" t="s">
        <v>721</v>
      </c>
      <c r="P264" s="504"/>
      <c r="Q264" s="503"/>
      <c r="R264" s="504">
        <f t="shared" si="19"/>
        <v>0</v>
      </c>
      <c r="S264" s="504">
        <f t="shared" si="19"/>
        <v>0</v>
      </c>
      <c r="T264" s="504">
        <f t="shared" si="19"/>
        <v>0</v>
      </c>
      <c r="U264" s="504">
        <f t="shared" si="19"/>
        <v>0</v>
      </c>
      <c r="V264" s="504">
        <f t="shared" si="19"/>
        <v>0</v>
      </c>
      <c r="W264" s="504">
        <f t="shared" si="19"/>
        <v>0</v>
      </c>
      <c r="X264" s="504">
        <f t="shared" si="19"/>
        <v>0</v>
      </c>
      <c r="Y264" s="503"/>
    </row>
    <row r="265" spans="3:25" ht="15" thickBot="1" x14ac:dyDescent="0.4">
      <c r="C265" s="504"/>
      <c r="D265" s="504"/>
      <c r="E265" s="508"/>
      <c r="F265" s="508"/>
      <c r="G265" s="508"/>
      <c r="H265" s="508"/>
      <c r="I265" s="508"/>
      <c r="J265" s="508"/>
      <c r="K265" s="508"/>
      <c r="L265" s="504"/>
      <c r="M265" s="504"/>
      <c r="N265" s="504"/>
      <c r="O265" s="504"/>
      <c r="P265" s="504"/>
      <c r="Q265" s="503"/>
      <c r="R265" s="503"/>
      <c r="S265" s="503"/>
      <c r="T265" s="503"/>
      <c r="U265" s="503"/>
      <c r="V265" s="503"/>
      <c r="W265" s="503"/>
      <c r="X265" s="503"/>
      <c r="Y265" s="503"/>
    </row>
    <row r="266" spans="3:25" ht="15" thickBot="1" x14ac:dyDescent="0.4">
      <c r="C266" s="509"/>
      <c r="D266" s="509" t="s">
        <v>712</v>
      </c>
      <c r="E266" s="511" t="s">
        <v>729</v>
      </c>
      <c r="F266" s="511" t="s">
        <v>729</v>
      </c>
      <c r="G266" s="511" t="s">
        <v>729</v>
      </c>
      <c r="H266" s="511" t="s">
        <v>729</v>
      </c>
      <c r="I266" s="511" t="s">
        <v>729</v>
      </c>
      <c r="J266" s="511" t="s">
        <v>729</v>
      </c>
      <c r="K266" s="511" t="s">
        <v>729</v>
      </c>
      <c r="L266" s="511" t="s">
        <v>729</v>
      </c>
      <c r="M266" s="511" t="s">
        <v>729</v>
      </c>
      <c r="N266" s="511" t="s">
        <v>729</v>
      </c>
      <c r="O266" s="513"/>
      <c r="P266" s="504"/>
      <c r="Q266" s="503"/>
      <c r="R266" s="503"/>
      <c r="S266" s="503"/>
      <c r="T266" s="503"/>
      <c r="U266" s="503"/>
      <c r="V266" s="503"/>
      <c r="W266" s="503"/>
      <c r="X266" s="503"/>
      <c r="Y266" s="503"/>
    </row>
    <row r="267" spans="3:25" ht="15" thickBot="1" x14ac:dyDescent="0.4">
      <c r="C267" s="509"/>
      <c r="D267" s="509" t="s">
        <v>714</v>
      </c>
      <c r="E267" s="510"/>
      <c r="F267" s="512"/>
      <c r="G267" s="511"/>
      <c r="H267" s="511"/>
      <c r="I267" s="511"/>
      <c r="J267" s="511"/>
      <c r="K267" s="511"/>
      <c r="L267" s="517"/>
      <c r="M267" s="518"/>
      <c r="N267" s="513"/>
      <c r="O267" s="513"/>
      <c r="P267" s="504"/>
      <c r="Q267" s="503"/>
      <c r="R267" s="503"/>
      <c r="S267" s="503"/>
      <c r="T267" s="503"/>
      <c r="U267" s="503"/>
      <c r="V267" s="503"/>
      <c r="W267" s="503"/>
      <c r="X267" s="503"/>
      <c r="Y267" s="503"/>
    </row>
    <row r="268" spans="3:25" ht="15" thickBot="1" x14ac:dyDescent="0.4"/>
    <row r="269" spans="3:25" ht="15" thickBot="1" x14ac:dyDescent="0.4">
      <c r="C269" s="483" t="s">
        <v>677</v>
      </c>
      <c r="D269" s="484" t="s">
        <v>678</v>
      </c>
      <c r="E269" s="481"/>
      <c r="F269" s="481"/>
      <c r="G269" s="482"/>
      <c r="H269" s="482"/>
      <c r="I269" s="482"/>
      <c r="J269" s="482"/>
      <c r="K269" s="482"/>
      <c r="L269" s="482"/>
      <c r="M269" s="482"/>
      <c r="N269" s="482"/>
      <c r="O269" s="481"/>
    </row>
    <row r="270" spans="3:25" ht="16" thickBot="1" x14ac:dyDescent="0.4">
      <c r="C270" s="487" t="s">
        <v>558</v>
      </c>
      <c r="D270" s="514" t="str">
        <f>VLOOKUP(C270,overview_of_services!$B$2:$I$123,3,FALSE)</f>
        <v>Information exchange on renewables generation prediction</v>
      </c>
      <c r="E270" s="489"/>
      <c r="F270" s="490" t="s">
        <v>680</v>
      </c>
      <c r="G270" s="578" t="str">
        <f>VLOOKUP(C270,overview_of_services!$B$2:$I$123,2,FALSE)</f>
        <v>DSM- Grid</v>
      </c>
      <c r="H270" s="578"/>
      <c r="I270" s="490"/>
      <c r="J270" s="491"/>
      <c r="K270" s="491"/>
      <c r="L270" s="491"/>
      <c r="M270" s="491"/>
      <c r="N270" s="491"/>
      <c r="O270" s="492"/>
      <c r="P270" s="492"/>
      <c r="Q270" s="492"/>
      <c r="R270" s="492" t="s">
        <v>681</v>
      </c>
      <c r="S270" s="492">
        <f>ROW()</f>
        <v>270</v>
      </c>
      <c r="T270" s="492"/>
      <c r="U270" s="492"/>
      <c r="V270" s="492"/>
      <c r="W270" s="492"/>
      <c r="X270" s="492"/>
      <c r="Y270" s="492"/>
    </row>
    <row r="271" spans="3:25" x14ac:dyDescent="0.35">
      <c r="C271" s="493"/>
      <c r="D271" s="493"/>
      <c r="E271" s="493"/>
      <c r="F271" s="493"/>
      <c r="G271" s="493"/>
      <c r="H271" s="493"/>
      <c r="I271" s="493"/>
      <c r="J271" s="493"/>
      <c r="K271" s="493"/>
      <c r="L271" s="493"/>
      <c r="M271" s="493"/>
      <c r="N271" s="493"/>
      <c r="O271" s="493"/>
      <c r="P271" s="481"/>
    </row>
    <row r="272" spans="3:25" x14ac:dyDescent="0.35">
      <c r="C272" s="575" t="s">
        <v>682</v>
      </c>
      <c r="D272" s="575"/>
      <c r="E272" s="577" t="s">
        <v>683</v>
      </c>
      <c r="F272" s="577"/>
      <c r="G272" s="577"/>
      <c r="H272" s="577"/>
      <c r="I272" s="577"/>
      <c r="J272" s="577"/>
      <c r="K272" s="577"/>
      <c r="L272" s="573" t="s">
        <v>684</v>
      </c>
      <c r="M272" s="574"/>
      <c r="N272" s="569" t="s">
        <v>685</v>
      </c>
      <c r="O272" s="571" t="s">
        <v>686</v>
      </c>
      <c r="P272" s="481"/>
    </row>
    <row r="273" spans="3:25" ht="29.5" thickBot="1" x14ac:dyDescent="0.4">
      <c r="C273" s="576"/>
      <c r="D273" s="576"/>
      <c r="E273" s="495" t="s">
        <v>687</v>
      </c>
      <c r="F273" s="495" t="s">
        <v>688</v>
      </c>
      <c r="G273" s="495" t="s">
        <v>689</v>
      </c>
      <c r="H273" s="495" t="s">
        <v>690</v>
      </c>
      <c r="I273" s="495" t="s">
        <v>616</v>
      </c>
      <c r="J273" s="495" t="s">
        <v>691</v>
      </c>
      <c r="K273" s="495" t="s">
        <v>692</v>
      </c>
      <c r="L273" s="496" t="s">
        <v>693</v>
      </c>
      <c r="M273" s="496" t="s">
        <v>694</v>
      </c>
      <c r="N273" s="570"/>
      <c r="O273" s="572"/>
      <c r="P273" s="481"/>
    </row>
    <row r="274" spans="3:25" ht="21.5" thickTop="1" x14ac:dyDescent="0.5">
      <c r="C274" s="497" t="s">
        <v>695</v>
      </c>
      <c r="D274" s="498" t="str">
        <f>VLOOKUP(C270,overview_of_services!$B$2:$I$123,4,FALSE)</f>
        <v>None</v>
      </c>
      <c r="E274" s="499">
        <v>0</v>
      </c>
      <c r="F274" s="499">
        <v>0</v>
      </c>
      <c r="G274" s="499">
        <v>0</v>
      </c>
      <c r="H274" s="499">
        <v>0</v>
      </c>
      <c r="I274" s="499">
        <v>0</v>
      </c>
      <c r="J274" s="499">
        <v>0</v>
      </c>
      <c r="K274" s="499">
        <v>0</v>
      </c>
      <c r="L274" s="530" t="s">
        <v>696</v>
      </c>
      <c r="M274" s="530" t="s">
        <v>696</v>
      </c>
      <c r="N274" s="531">
        <v>0</v>
      </c>
      <c r="O274" s="532" t="s">
        <v>721</v>
      </c>
      <c r="P274" s="504"/>
      <c r="Q274" s="503"/>
      <c r="R274" s="504">
        <f t="shared" ref="R274:X278" si="20">IF(E274=0,0,(IF(E274="+",1,(IF(E274="++",2,(IF(E274="+++",3,(IF(E274="++++",4,(IF(E274="-",-1,(IF(E274="--",-2,(IF(E274="---",-3,(IF(E274="----",-4,"NA")))))))))))))))))</f>
        <v>0</v>
      </c>
      <c r="S274" s="504">
        <f t="shared" si="20"/>
        <v>0</v>
      </c>
      <c r="T274" s="504">
        <f t="shared" si="20"/>
        <v>0</v>
      </c>
      <c r="U274" s="504">
        <f t="shared" si="20"/>
        <v>0</v>
      </c>
      <c r="V274" s="504">
        <f t="shared" si="20"/>
        <v>0</v>
      </c>
      <c r="W274" s="504">
        <f t="shared" si="20"/>
        <v>0</v>
      </c>
      <c r="X274" s="504">
        <f t="shared" si="20"/>
        <v>0</v>
      </c>
      <c r="Y274" s="503"/>
    </row>
    <row r="275" spans="3:25" ht="21" x14ac:dyDescent="0.5">
      <c r="C275" s="505" t="s">
        <v>699</v>
      </c>
      <c r="D275" s="506" t="str">
        <f>VLOOKUP(C270,overview_of_services!$B$2:$I$123,5,FALSE)</f>
        <v>local optimization</v>
      </c>
      <c r="E275" s="499">
        <v>0</v>
      </c>
      <c r="F275" s="499" t="s">
        <v>700</v>
      </c>
      <c r="G275" s="499">
        <v>0</v>
      </c>
      <c r="H275" s="499">
        <v>0</v>
      </c>
      <c r="I275" s="499">
        <v>0</v>
      </c>
      <c r="J275" s="499" t="s">
        <v>700</v>
      </c>
      <c r="K275" s="499">
        <v>0</v>
      </c>
      <c r="L275" s="530">
        <v>0</v>
      </c>
      <c r="M275" s="530" t="s">
        <v>700</v>
      </c>
      <c r="N275" s="531" t="s">
        <v>791</v>
      </c>
      <c r="O275" s="532" t="s">
        <v>721</v>
      </c>
      <c r="P275" s="504"/>
      <c r="Q275" s="503"/>
      <c r="R275" s="504">
        <f t="shared" si="20"/>
        <v>0</v>
      </c>
      <c r="S275" s="504">
        <f t="shared" si="20"/>
        <v>1</v>
      </c>
      <c r="T275" s="504">
        <f t="shared" si="20"/>
        <v>0</v>
      </c>
      <c r="U275" s="504">
        <f t="shared" si="20"/>
        <v>0</v>
      </c>
      <c r="V275" s="504">
        <f t="shared" si="20"/>
        <v>0</v>
      </c>
      <c r="W275" s="504">
        <f t="shared" si="20"/>
        <v>1</v>
      </c>
      <c r="X275" s="504">
        <f t="shared" si="20"/>
        <v>0</v>
      </c>
      <c r="Y275" s="503"/>
    </row>
    <row r="276" spans="3:25" ht="21" x14ac:dyDescent="0.5">
      <c r="C276" s="505" t="s">
        <v>703</v>
      </c>
      <c r="D276" s="506" t="str">
        <f>VLOOKUP(C270,overview_of_services!$B$2:$I$123,6,FALSE)</f>
        <v>adaptive load forecast</v>
      </c>
      <c r="E276" s="499">
        <v>0</v>
      </c>
      <c r="F276" s="499" t="s">
        <v>700</v>
      </c>
      <c r="G276" s="499">
        <v>0</v>
      </c>
      <c r="H276" s="499">
        <v>0</v>
      </c>
      <c r="I276" s="499">
        <v>0</v>
      </c>
      <c r="J276" s="499" t="s">
        <v>700</v>
      </c>
      <c r="K276" s="499">
        <v>0</v>
      </c>
      <c r="L276" s="530">
        <v>0</v>
      </c>
      <c r="M276" s="530">
        <v>0</v>
      </c>
      <c r="N276" s="531" t="s">
        <v>791</v>
      </c>
      <c r="O276" s="532" t="s">
        <v>721</v>
      </c>
      <c r="P276" s="504"/>
      <c r="Q276" s="503"/>
      <c r="R276" s="504">
        <f t="shared" si="20"/>
        <v>0</v>
      </c>
      <c r="S276" s="504">
        <f t="shared" si="20"/>
        <v>1</v>
      </c>
      <c r="T276" s="504">
        <f t="shared" si="20"/>
        <v>0</v>
      </c>
      <c r="U276" s="504">
        <f t="shared" si="20"/>
        <v>0</v>
      </c>
      <c r="V276" s="504">
        <f t="shared" si="20"/>
        <v>0</v>
      </c>
      <c r="W276" s="504">
        <f t="shared" si="20"/>
        <v>1</v>
      </c>
      <c r="X276" s="504">
        <f t="shared" si="20"/>
        <v>0</v>
      </c>
      <c r="Y276" s="503"/>
    </row>
    <row r="277" spans="3:25" ht="21" x14ac:dyDescent="0.5">
      <c r="C277" s="505" t="s">
        <v>706</v>
      </c>
      <c r="D277" s="506">
        <f>VLOOKUP(C270,overview_of_services!$B$2:$I$123,7,FALSE)</f>
        <v>0</v>
      </c>
      <c r="E277" s="499"/>
      <c r="F277" s="499"/>
      <c r="G277" s="499"/>
      <c r="H277" s="499"/>
      <c r="I277" s="499"/>
      <c r="J277" s="499"/>
      <c r="K277" s="499"/>
      <c r="L277" s="500" t="s">
        <v>721</v>
      </c>
      <c r="M277" s="500" t="s">
        <v>721</v>
      </c>
      <c r="N277" s="501" t="s">
        <v>721</v>
      </c>
      <c r="O277" s="529" t="s">
        <v>721</v>
      </c>
      <c r="P277" s="504"/>
      <c r="Q277" s="503"/>
      <c r="R277" s="504">
        <f t="shared" si="20"/>
        <v>0</v>
      </c>
      <c r="S277" s="504">
        <f t="shared" si="20"/>
        <v>0</v>
      </c>
      <c r="T277" s="504">
        <f t="shared" si="20"/>
        <v>0</v>
      </c>
      <c r="U277" s="504">
        <f t="shared" si="20"/>
        <v>0</v>
      </c>
      <c r="V277" s="504">
        <f t="shared" si="20"/>
        <v>0</v>
      </c>
      <c r="W277" s="504">
        <f t="shared" si="20"/>
        <v>0</v>
      </c>
      <c r="X277" s="504">
        <f t="shared" si="20"/>
        <v>0</v>
      </c>
      <c r="Y277" s="503"/>
    </row>
    <row r="278" spans="3:25" ht="21" x14ac:dyDescent="0.5">
      <c r="C278" s="505" t="s">
        <v>710</v>
      </c>
      <c r="D278" s="506">
        <f>VLOOKUP(C270,overview_of_services!$B$2:$I$123,8,FALSE)</f>
        <v>0</v>
      </c>
      <c r="E278" s="507"/>
      <c r="F278" s="499"/>
      <c r="G278" s="507"/>
      <c r="H278" s="507"/>
      <c r="I278" s="499"/>
      <c r="J278" s="499"/>
      <c r="K278" s="499"/>
      <c r="L278" s="500" t="s">
        <v>721</v>
      </c>
      <c r="M278" s="500" t="s">
        <v>721</v>
      </c>
      <c r="N278" s="501" t="s">
        <v>721</v>
      </c>
      <c r="O278" s="529" t="s">
        <v>721</v>
      </c>
      <c r="P278" s="504"/>
      <c r="Q278" s="503"/>
      <c r="R278" s="504">
        <f t="shared" si="20"/>
        <v>0</v>
      </c>
      <c r="S278" s="504">
        <f t="shared" si="20"/>
        <v>0</v>
      </c>
      <c r="T278" s="504">
        <f t="shared" si="20"/>
        <v>0</v>
      </c>
      <c r="U278" s="504">
        <f t="shared" si="20"/>
        <v>0</v>
      </c>
      <c r="V278" s="504">
        <f t="shared" si="20"/>
        <v>0</v>
      </c>
      <c r="W278" s="504">
        <f t="shared" si="20"/>
        <v>0</v>
      </c>
      <c r="X278" s="504">
        <f t="shared" si="20"/>
        <v>0</v>
      </c>
      <c r="Y278" s="503"/>
    </row>
    <row r="279" spans="3:25" ht="15" thickBot="1" x14ac:dyDescent="0.4">
      <c r="C279" s="504"/>
      <c r="D279" s="504"/>
      <c r="E279" s="508"/>
      <c r="F279" s="508"/>
      <c r="G279" s="508"/>
      <c r="H279" s="508"/>
      <c r="I279" s="508"/>
      <c r="J279" s="508"/>
      <c r="K279" s="508"/>
      <c r="L279" s="504"/>
      <c r="M279" s="504"/>
      <c r="N279" s="504"/>
      <c r="O279" s="504"/>
      <c r="P279" s="504"/>
      <c r="Q279" s="503"/>
      <c r="R279" s="503"/>
      <c r="S279" s="503"/>
      <c r="T279" s="503"/>
      <c r="U279" s="503"/>
      <c r="V279" s="503"/>
      <c r="W279" s="503"/>
      <c r="X279" s="503"/>
      <c r="Y279" s="503"/>
    </row>
    <row r="280" spans="3:25" ht="15" thickBot="1" x14ac:dyDescent="0.4">
      <c r="C280" s="509"/>
      <c r="D280" s="509" t="s">
        <v>712</v>
      </c>
      <c r="E280" s="511" t="s">
        <v>729</v>
      </c>
      <c r="F280" s="511" t="s">
        <v>729</v>
      </c>
      <c r="G280" s="511" t="s">
        <v>729</v>
      </c>
      <c r="H280" s="511" t="s">
        <v>729</v>
      </c>
      <c r="I280" s="511" t="s">
        <v>729</v>
      </c>
      <c r="J280" s="511" t="s">
        <v>729</v>
      </c>
      <c r="K280" s="511" t="s">
        <v>729</v>
      </c>
      <c r="L280" s="511" t="s">
        <v>729</v>
      </c>
      <c r="M280" s="511" t="s">
        <v>729</v>
      </c>
      <c r="N280" s="511" t="s">
        <v>729</v>
      </c>
      <c r="O280" s="513"/>
      <c r="P280" s="504"/>
      <c r="Q280" s="503"/>
      <c r="R280" s="503"/>
      <c r="S280" s="503"/>
      <c r="T280" s="503"/>
      <c r="U280" s="503"/>
      <c r="V280" s="503"/>
      <c r="W280" s="503"/>
      <c r="X280" s="503"/>
      <c r="Y280" s="503"/>
    </row>
    <row r="281" spans="3:25" ht="15" thickBot="1" x14ac:dyDescent="0.4">
      <c r="C281" s="509"/>
      <c r="D281" s="509" t="s">
        <v>714</v>
      </c>
      <c r="E281" s="510"/>
      <c r="F281" s="512"/>
      <c r="G281" s="511"/>
      <c r="H281" s="511"/>
      <c r="I281" s="511"/>
      <c r="J281" s="511"/>
      <c r="K281" s="511"/>
      <c r="L281" s="517"/>
      <c r="M281" s="518"/>
      <c r="N281" s="513"/>
      <c r="O281" s="513"/>
      <c r="P281" s="504"/>
      <c r="Q281" s="503"/>
      <c r="R281" s="503"/>
      <c r="S281" s="503"/>
      <c r="T281" s="503"/>
      <c r="U281" s="503"/>
      <c r="V281" s="503"/>
      <c r="W281" s="503"/>
      <c r="X281" s="503"/>
      <c r="Y281" s="503"/>
    </row>
    <row r="282" spans="3:25" ht="15" thickBot="1" x14ac:dyDescent="0.4"/>
    <row r="283" spans="3:25" ht="15" thickBot="1" x14ac:dyDescent="0.4">
      <c r="C283" s="483" t="s">
        <v>677</v>
      </c>
      <c r="D283" s="484" t="s">
        <v>678</v>
      </c>
      <c r="E283" s="481"/>
      <c r="F283" s="481"/>
      <c r="G283" s="482"/>
      <c r="H283" s="482"/>
      <c r="I283" s="482"/>
      <c r="J283" s="482"/>
      <c r="K283" s="482"/>
      <c r="L283" s="482"/>
      <c r="M283" s="482"/>
      <c r="N283" s="482"/>
      <c r="O283" s="481"/>
    </row>
    <row r="284" spans="3:25" ht="16" thickBot="1" x14ac:dyDescent="0.4">
      <c r="C284" s="487" t="s">
        <v>560</v>
      </c>
      <c r="D284" s="514" t="str">
        <f>VLOOKUP(C284,overview_of_services!$B$2:$I$123,3,FALSE)</f>
        <v>Heat management for a multi-tenant house by aggregator</v>
      </c>
      <c r="E284" s="489"/>
      <c r="F284" s="490" t="s">
        <v>680</v>
      </c>
      <c r="G284" s="578" t="str">
        <f>VLOOKUP(C284,overview_of_services!$B$2:$I$123,2,FALSE)</f>
        <v>DSM- Storage</v>
      </c>
      <c r="H284" s="578"/>
      <c r="I284" s="490"/>
      <c r="J284" s="491"/>
      <c r="K284" s="491"/>
      <c r="L284" s="491"/>
      <c r="M284" s="491"/>
      <c r="N284" s="491"/>
      <c r="O284" s="492"/>
      <c r="P284" s="492"/>
      <c r="Q284" s="492"/>
      <c r="R284" s="492" t="s">
        <v>681</v>
      </c>
      <c r="S284" s="492">
        <f>ROW()</f>
        <v>284</v>
      </c>
      <c r="T284" s="492"/>
      <c r="U284" s="492"/>
      <c r="V284" s="492"/>
      <c r="W284" s="492"/>
      <c r="X284" s="492"/>
      <c r="Y284" s="492"/>
    </row>
    <row r="285" spans="3:25" x14ac:dyDescent="0.35">
      <c r="C285" s="493"/>
      <c r="D285" s="493"/>
      <c r="E285" s="493"/>
      <c r="F285" s="493"/>
      <c r="G285" s="493"/>
      <c r="H285" s="493"/>
      <c r="I285" s="493"/>
      <c r="J285" s="493"/>
      <c r="K285" s="493"/>
      <c r="L285" s="493"/>
      <c r="M285" s="493"/>
      <c r="N285" s="493"/>
      <c r="O285" s="493"/>
      <c r="P285" s="481"/>
    </row>
    <row r="286" spans="3:25" x14ac:dyDescent="0.35">
      <c r="C286" s="575" t="s">
        <v>682</v>
      </c>
      <c r="D286" s="575"/>
      <c r="E286" s="577" t="s">
        <v>683</v>
      </c>
      <c r="F286" s="577"/>
      <c r="G286" s="577"/>
      <c r="H286" s="577"/>
      <c r="I286" s="577"/>
      <c r="J286" s="577"/>
      <c r="K286" s="577"/>
      <c r="L286" s="573" t="s">
        <v>684</v>
      </c>
      <c r="M286" s="574"/>
      <c r="N286" s="569" t="s">
        <v>685</v>
      </c>
      <c r="O286" s="571" t="s">
        <v>686</v>
      </c>
      <c r="P286" s="481"/>
    </row>
    <row r="287" spans="3:25" ht="29.5" thickBot="1" x14ac:dyDescent="0.4">
      <c r="C287" s="576"/>
      <c r="D287" s="576"/>
      <c r="E287" s="495" t="s">
        <v>687</v>
      </c>
      <c r="F287" s="495" t="s">
        <v>688</v>
      </c>
      <c r="G287" s="495" t="s">
        <v>689</v>
      </c>
      <c r="H287" s="495" t="s">
        <v>690</v>
      </c>
      <c r="I287" s="495" t="s">
        <v>616</v>
      </c>
      <c r="J287" s="495" t="s">
        <v>691</v>
      </c>
      <c r="K287" s="495" t="s">
        <v>692</v>
      </c>
      <c r="L287" s="496" t="s">
        <v>693</v>
      </c>
      <c r="M287" s="496" t="s">
        <v>694</v>
      </c>
      <c r="N287" s="570"/>
      <c r="O287" s="572"/>
      <c r="P287" s="481"/>
    </row>
    <row r="288" spans="3:25" ht="21.5" thickTop="1" x14ac:dyDescent="0.5">
      <c r="C288" s="497" t="s">
        <v>695</v>
      </c>
      <c r="D288" s="498" t="str">
        <f>VLOOKUP(C284,overview_of_services!$B$2:$I$123,4,FALSE)</f>
        <v>None</v>
      </c>
      <c r="E288" s="499">
        <v>0</v>
      </c>
      <c r="F288" s="499">
        <v>0</v>
      </c>
      <c r="G288" s="499">
        <v>0</v>
      </c>
      <c r="H288" s="499">
        <v>0</v>
      </c>
      <c r="I288" s="499">
        <v>0</v>
      </c>
      <c r="J288" s="499">
        <v>0</v>
      </c>
      <c r="K288" s="499">
        <v>0</v>
      </c>
      <c r="L288" s="530" t="s">
        <v>696</v>
      </c>
      <c r="M288" s="530" t="s">
        <v>696</v>
      </c>
      <c r="N288" s="531">
        <v>0</v>
      </c>
      <c r="O288" s="532" t="s">
        <v>721</v>
      </c>
      <c r="P288" s="504"/>
      <c r="Q288" s="503"/>
      <c r="R288" s="504">
        <f t="shared" ref="R288:X292" si="21">IF(E288=0,0,(IF(E288="+",1,(IF(E288="++",2,(IF(E288="+++",3,(IF(E288="++++",4,(IF(E288="-",-1,(IF(E288="--",-2,(IF(E288="---",-3,(IF(E288="----",-4,"NA")))))))))))))))))</f>
        <v>0</v>
      </c>
      <c r="S288" s="504">
        <f t="shared" si="21"/>
        <v>0</v>
      </c>
      <c r="T288" s="504">
        <f t="shared" si="21"/>
        <v>0</v>
      </c>
      <c r="U288" s="504">
        <f t="shared" si="21"/>
        <v>0</v>
      </c>
      <c r="V288" s="504">
        <f t="shared" si="21"/>
        <v>0</v>
      </c>
      <c r="W288" s="504">
        <f t="shared" si="21"/>
        <v>0</v>
      </c>
      <c r="X288" s="504">
        <f t="shared" si="21"/>
        <v>0</v>
      </c>
      <c r="Y288" s="503"/>
    </row>
    <row r="289" spans="3:25" ht="21" x14ac:dyDescent="0.5">
      <c r="C289" s="505" t="s">
        <v>699</v>
      </c>
      <c r="D289" s="506" t="str">
        <f>VLOOKUP(C284,overview_of_services!$B$2:$I$123,5,FALSE)</f>
        <v>occupant best-effort</v>
      </c>
      <c r="E289" s="499" t="s">
        <v>700</v>
      </c>
      <c r="F289" s="499">
        <v>0</v>
      </c>
      <c r="G289" s="499" t="s">
        <v>700</v>
      </c>
      <c r="H289" s="499" t="s">
        <v>700</v>
      </c>
      <c r="I289" s="499">
        <v>0</v>
      </c>
      <c r="J289" s="499">
        <v>0</v>
      </c>
      <c r="K289" s="499">
        <v>0</v>
      </c>
      <c r="L289" s="530" t="s">
        <v>704</v>
      </c>
      <c r="M289" s="530" t="s">
        <v>700</v>
      </c>
      <c r="N289" s="531" t="s">
        <v>796</v>
      </c>
      <c r="O289" s="532" t="s">
        <v>721</v>
      </c>
      <c r="P289" s="504"/>
      <c r="Q289" s="503"/>
      <c r="R289" s="504">
        <f t="shared" si="21"/>
        <v>1</v>
      </c>
      <c r="S289" s="504">
        <f t="shared" si="21"/>
        <v>0</v>
      </c>
      <c r="T289" s="504">
        <f t="shared" si="21"/>
        <v>1</v>
      </c>
      <c r="U289" s="504">
        <f t="shared" si="21"/>
        <v>1</v>
      </c>
      <c r="V289" s="504">
        <f t="shared" si="21"/>
        <v>0</v>
      </c>
      <c r="W289" s="504">
        <f t="shared" si="21"/>
        <v>0</v>
      </c>
      <c r="X289" s="504">
        <f t="shared" si="21"/>
        <v>0</v>
      </c>
      <c r="Y289" s="503"/>
    </row>
    <row r="290" spans="3:25" ht="21" x14ac:dyDescent="0.5">
      <c r="C290" s="505" t="s">
        <v>703</v>
      </c>
      <c r="D290" s="506" t="str">
        <f>VLOOKUP(C284,overview_of_services!$B$2:$I$123,6,FALSE)</f>
        <v>building  best-effort</v>
      </c>
      <c r="E290" s="499" t="s">
        <v>704</v>
      </c>
      <c r="F290" s="499">
        <v>0</v>
      </c>
      <c r="G290" s="499" t="s">
        <v>700</v>
      </c>
      <c r="H290" s="499" t="s">
        <v>700</v>
      </c>
      <c r="I290" s="499">
        <v>0</v>
      </c>
      <c r="J290" s="499">
        <v>0</v>
      </c>
      <c r="K290" s="499">
        <v>0</v>
      </c>
      <c r="L290" s="530" t="s">
        <v>700</v>
      </c>
      <c r="M290" s="530" t="s">
        <v>704</v>
      </c>
      <c r="N290" s="531" t="s">
        <v>796</v>
      </c>
      <c r="O290" s="532" t="s">
        <v>721</v>
      </c>
      <c r="P290" s="504"/>
      <c r="Q290" s="503"/>
      <c r="R290" s="504">
        <f t="shared" si="21"/>
        <v>2</v>
      </c>
      <c r="S290" s="504">
        <f t="shared" si="21"/>
        <v>0</v>
      </c>
      <c r="T290" s="504">
        <f t="shared" si="21"/>
        <v>1</v>
      </c>
      <c r="U290" s="504">
        <f t="shared" si="21"/>
        <v>1</v>
      </c>
      <c r="V290" s="504">
        <f t="shared" si="21"/>
        <v>0</v>
      </c>
      <c r="W290" s="504">
        <f t="shared" si="21"/>
        <v>0</v>
      </c>
      <c r="X290" s="504">
        <f t="shared" si="21"/>
        <v>0</v>
      </c>
      <c r="Y290" s="503"/>
    </row>
    <row r="291" spans="3:25" ht="21" x14ac:dyDescent="0.5">
      <c r="C291" s="505" t="s">
        <v>706</v>
      </c>
      <c r="D291" s="506">
        <f>VLOOKUP(C284,overview_of_services!$B$2:$I$123,7,FALSE)</f>
        <v>0</v>
      </c>
      <c r="E291" s="499"/>
      <c r="F291" s="499"/>
      <c r="G291" s="499"/>
      <c r="H291" s="499"/>
      <c r="I291" s="499"/>
      <c r="J291" s="499"/>
      <c r="K291" s="499"/>
      <c r="L291" s="500" t="s">
        <v>721</v>
      </c>
      <c r="M291" s="500" t="s">
        <v>721</v>
      </c>
      <c r="N291" s="501" t="s">
        <v>721</v>
      </c>
      <c r="O291" s="529" t="s">
        <v>721</v>
      </c>
      <c r="P291" s="504"/>
      <c r="Q291" s="503"/>
      <c r="R291" s="504">
        <f t="shared" si="21"/>
        <v>0</v>
      </c>
      <c r="S291" s="504">
        <f t="shared" si="21"/>
        <v>0</v>
      </c>
      <c r="T291" s="504">
        <f t="shared" si="21"/>
        <v>0</v>
      </c>
      <c r="U291" s="504">
        <f t="shared" si="21"/>
        <v>0</v>
      </c>
      <c r="V291" s="504">
        <f t="shared" si="21"/>
        <v>0</v>
      </c>
      <c r="W291" s="504">
        <f t="shared" si="21"/>
        <v>0</v>
      </c>
      <c r="X291" s="504">
        <f t="shared" si="21"/>
        <v>0</v>
      </c>
      <c r="Y291" s="503"/>
    </row>
    <row r="292" spans="3:25" ht="21" x14ac:dyDescent="0.5">
      <c r="C292" s="505" t="s">
        <v>710</v>
      </c>
      <c r="D292" s="506">
        <f>VLOOKUP(C284,overview_of_services!$B$2:$I$123,8,FALSE)</f>
        <v>0</v>
      </c>
      <c r="E292" s="507"/>
      <c r="F292" s="499"/>
      <c r="G292" s="507"/>
      <c r="H292" s="507"/>
      <c r="I292" s="499"/>
      <c r="J292" s="499"/>
      <c r="K292" s="499"/>
      <c r="L292" s="500" t="s">
        <v>721</v>
      </c>
      <c r="M292" s="500" t="s">
        <v>721</v>
      </c>
      <c r="N292" s="501" t="s">
        <v>721</v>
      </c>
      <c r="O292" s="529" t="s">
        <v>721</v>
      </c>
      <c r="P292" s="504"/>
      <c r="Q292" s="503"/>
      <c r="R292" s="504">
        <f t="shared" si="21"/>
        <v>0</v>
      </c>
      <c r="S292" s="504">
        <f t="shared" si="21"/>
        <v>0</v>
      </c>
      <c r="T292" s="504">
        <f t="shared" si="21"/>
        <v>0</v>
      </c>
      <c r="U292" s="504">
        <f t="shared" si="21"/>
        <v>0</v>
      </c>
      <c r="V292" s="504">
        <f t="shared" si="21"/>
        <v>0</v>
      </c>
      <c r="W292" s="504">
        <f t="shared" si="21"/>
        <v>0</v>
      </c>
      <c r="X292" s="504">
        <f t="shared" si="21"/>
        <v>0</v>
      </c>
      <c r="Y292" s="503"/>
    </row>
    <row r="293" spans="3:25" ht="15" thickBot="1" x14ac:dyDescent="0.4">
      <c r="C293" s="504"/>
      <c r="D293" s="504"/>
      <c r="E293" s="508"/>
      <c r="F293" s="508"/>
      <c r="G293" s="508"/>
      <c r="H293" s="508"/>
      <c r="I293" s="508"/>
      <c r="J293" s="508"/>
      <c r="K293" s="508"/>
      <c r="L293" s="504"/>
      <c r="M293" s="504"/>
      <c r="N293" s="504"/>
      <c r="O293" s="504"/>
      <c r="P293" s="504"/>
      <c r="Q293" s="503"/>
      <c r="R293" s="503"/>
      <c r="S293" s="503"/>
      <c r="T293" s="503"/>
      <c r="U293" s="503"/>
      <c r="V293" s="503"/>
      <c r="W293" s="503"/>
      <c r="X293" s="503"/>
      <c r="Y293" s="503"/>
    </row>
    <row r="294" spans="3:25" ht="15" thickBot="1" x14ac:dyDescent="0.4">
      <c r="C294" s="509"/>
      <c r="D294" s="509" t="s">
        <v>712</v>
      </c>
      <c r="E294" s="511" t="s">
        <v>729</v>
      </c>
      <c r="F294" s="511" t="s">
        <v>729</v>
      </c>
      <c r="G294" s="511" t="s">
        <v>729</v>
      </c>
      <c r="H294" s="511" t="s">
        <v>729</v>
      </c>
      <c r="I294" s="511" t="s">
        <v>729</v>
      </c>
      <c r="J294" s="511" t="s">
        <v>729</v>
      </c>
      <c r="K294" s="511" t="s">
        <v>729</v>
      </c>
      <c r="L294" s="511" t="s">
        <v>729</v>
      </c>
      <c r="M294" s="511" t="s">
        <v>729</v>
      </c>
      <c r="N294" s="511" t="s">
        <v>729</v>
      </c>
      <c r="O294" s="513"/>
      <c r="P294" s="504"/>
      <c r="Q294" s="503"/>
      <c r="R294" s="503"/>
      <c r="S294" s="503"/>
      <c r="T294" s="503"/>
      <c r="U294" s="503"/>
      <c r="V294" s="503"/>
      <c r="W294" s="503"/>
      <c r="X294" s="503"/>
      <c r="Y294" s="503"/>
    </row>
    <row r="295" spans="3:25" ht="15" thickBot="1" x14ac:dyDescent="0.4">
      <c r="C295" s="509"/>
      <c r="D295" s="509" t="s">
        <v>714</v>
      </c>
      <c r="E295" s="510"/>
      <c r="F295" s="512"/>
      <c r="G295" s="511"/>
      <c r="H295" s="511"/>
      <c r="I295" s="511"/>
      <c r="J295" s="511"/>
      <c r="K295" s="511"/>
      <c r="L295" s="517"/>
      <c r="M295" s="518"/>
      <c r="N295" s="513"/>
      <c r="O295" s="513"/>
      <c r="P295" s="504"/>
      <c r="Q295" s="503"/>
      <c r="R295" s="503"/>
      <c r="S295" s="503"/>
      <c r="T295" s="503"/>
      <c r="U295" s="503"/>
      <c r="V295" s="503"/>
      <c r="W295" s="503"/>
      <c r="X295" s="503"/>
      <c r="Y295" s="503"/>
    </row>
    <row r="296" spans="3:25" ht="15" thickBot="1" x14ac:dyDescent="0.4"/>
    <row r="297" spans="3:25" ht="15" thickBot="1" x14ac:dyDescent="0.4">
      <c r="C297" s="483" t="s">
        <v>677</v>
      </c>
      <c r="D297" s="484" t="s">
        <v>678</v>
      </c>
      <c r="E297" s="481"/>
      <c r="F297" s="481"/>
      <c r="G297" s="482"/>
      <c r="H297" s="482"/>
      <c r="I297" s="482"/>
      <c r="J297" s="482"/>
      <c r="K297" s="482"/>
      <c r="L297" s="482"/>
      <c r="M297" s="482"/>
      <c r="N297" s="482"/>
      <c r="O297" s="481"/>
    </row>
    <row r="298" spans="3:25" ht="16" thickBot="1" x14ac:dyDescent="0.4">
      <c r="C298" s="487" t="s">
        <v>564</v>
      </c>
      <c r="D298" s="514" t="str">
        <f>VLOOKUP(C298,overview_of_services!$B$2:$I$123,3,FALSE)</f>
        <v>DSM control of a device by an aggregator</v>
      </c>
      <c r="E298" s="489"/>
      <c r="F298" s="490" t="s">
        <v>680</v>
      </c>
      <c r="G298" s="578" t="str">
        <f>VLOOKUP(C298,overview_of_services!$B$2:$I$123,2,FALSE)</f>
        <v>DSM - Local Systems</v>
      </c>
      <c r="H298" s="578"/>
      <c r="I298" s="490"/>
      <c r="J298" s="491"/>
      <c r="K298" s="491"/>
      <c r="L298" s="491"/>
      <c r="M298" s="491"/>
      <c r="N298" s="491"/>
      <c r="O298" s="492"/>
      <c r="P298" s="492"/>
      <c r="Q298" s="492"/>
      <c r="R298" s="492" t="s">
        <v>681</v>
      </c>
      <c r="S298" s="492">
        <f>ROW()</f>
        <v>298</v>
      </c>
      <c r="T298" s="492"/>
      <c r="U298" s="492"/>
      <c r="V298" s="492"/>
      <c r="W298" s="492"/>
      <c r="X298" s="492"/>
      <c r="Y298" s="492"/>
    </row>
    <row r="299" spans="3:25" x14ac:dyDescent="0.35">
      <c r="C299" s="493"/>
      <c r="D299" s="493"/>
      <c r="E299" s="493"/>
      <c r="F299" s="493"/>
      <c r="G299" s="493"/>
      <c r="H299" s="493"/>
      <c r="I299" s="493"/>
      <c r="J299" s="493"/>
      <c r="K299" s="493"/>
      <c r="L299" s="493"/>
      <c r="M299" s="493"/>
      <c r="N299" s="493"/>
      <c r="O299" s="493"/>
      <c r="P299" s="481"/>
    </row>
    <row r="300" spans="3:25" x14ac:dyDescent="0.35">
      <c r="C300" s="575" t="s">
        <v>682</v>
      </c>
      <c r="D300" s="575"/>
      <c r="E300" s="577" t="s">
        <v>683</v>
      </c>
      <c r="F300" s="577"/>
      <c r="G300" s="577"/>
      <c r="H300" s="577"/>
      <c r="I300" s="577"/>
      <c r="J300" s="577"/>
      <c r="K300" s="577"/>
      <c r="L300" s="573" t="s">
        <v>684</v>
      </c>
      <c r="M300" s="574"/>
      <c r="N300" s="569" t="s">
        <v>685</v>
      </c>
      <c r="O300" s="571" t="s">
        <v>686</v>
      </c>
      <c r="P300" s="481"/>
    </row>
    <row r="301" spans="3:25" ht="29.5" thickBot="1" x14ac:dyDescent="0.4">
      <c r="C301" s="576"/>
      <c r="D301" s="576"/>
      <c r="E301" s="495" t="s">
        <v>687</v>
      </c>
      <c r="F301" s="495" t="s">
        <v>688</v>
      </c>
      <c r="G301" s="495" t="s">
        <v>689</v>
      </c>
      <c r="H301" s="495" t="s">
        <v>690</v>
      </c>
      <c r="I301" s="495" t="s">
        <v>616</v>
      </c>
      <c r="J301" s="495" t="s">
        <v>691</v>
      </c>
      <c r="K301" s="495" t="s">
        <v>692</v>
      </c>
      <c r="L301" s="496" t="s">
        <v>693</v>
      </c>
      <c r="M301" s="496" t="s">
        <v>694</v>
      </c>
      <c r="N301" s="570"/>
      <c r="O301" s="572"/>
      <c r="P301" s="481"/>
    </row>
    <row r="302" spans="3:25" ht="21.5" thickTop="1" x14ac:dyDescent="0.5">
      <c r="C302" s="497" t="s">
        <v>695</v>
      </c>
      <c r="D302" s="498" t="str">
        <f>VLOOKUP(C298,overview_of_services!$B$2:$I$123,4,FALSE)</f>
        <v>None</v>
      </c>
      <c r="E302" s="499">
        <v>0</v>
      </c>
      <c r="F302" s="499">
        <v>0</v>
      </c>
      <c r="G302" s="499">
        <v>0</v>
      </c>
      <c r="H302" s="499">
        <v>0</v>
      </c>
      <c r="I302" s="499">
        <v>0</v>
      </c>
      <c r="J302" s="499">
        <v>0</v>
      </c>
      <c r="K302" s="499">
        <v>0</v>
      </c>
      <c r="L302" s="530" t="s">
        <v>696</v>
      </c>
      <c r="M302" s="530" t="s">
        <v>696</v>
      </c>
      <c r="N302" s="531">
        <v>0</v>
      </c>
      <c r="O302" s="532" t="s">
        <v>721</v>
      </c>
      <c r="P302" s="504"/>
      <c r="Q302" s="503"/>
      <c r="R302" s="504">
        <f t="shared" ref="R302:X306" si="22">IF(E302=0,0,(IF(E302="+",1,(IF(E302="++",2,(IF(E302="+++",3,(IF(E302="++++",4,(IF(E302="-",-1,(IF(E302="--",-2,(IF(E302="---",-3,(IF(E302="----",-4,"NA")))))))))))))))))</f>
        <v>0</v>
      </c>
      <c r="S302" s="504">
        <f t="shared" si="22"/>
        <v>0</v>
      </c>
      <c r="T302" s="504">
        <f t="shared" si="22"/>
        <v>0</v>
      </c>
      <c r="U302" s="504">
        <f t="shared" si="22"/>
        <v>0</v>
      </c>
      <c r="V302" s="504">
        <f t="shared" si="22"/>
        <v>0</v>
      </c>
      <c r="W302" s="504">
        <f t="shared" si="22"/>
        <v>0</v>
      </c>
      <c r="X302" s="504">
        <f t="shared" si="22"/>
        <v>0</v>
      </c>
      <c r="Y302" s="503"/>
    </row>
    <row r="303" spans="3:25" ht="21" x14ac:dyDescent="0.5">
      <c r="C303" s="505" t="s">
        <v>699</v>
      </c>
      <c r="D303" s="506" t="str">
        <f>VLOOKUP(C298,overview_of_services!$B$2:$I$123,5,FALSE)</f>
        <v>microgrid operations (energy based)</v>
      </c>
      <c r="E303" s="499">
        <v>0</v>
      </c>
      <c r="F303" s="499" t="s">
        <v>700</v>
      </c>
      <c r="G303" s="499">
        <v>0</v>
      </c>
      <c r="H303" s="499">
        <v>0</v>
      </c>
      <c r="I303" s="499">
        <v>0</v>
      </c>
      <c r="J303" s="499" t="s">
        <v>697</v>
      </c>
      <c r="K303" s="499">
        <v>0</v>
      </c>
      <c r="L303" s="530">
        <v>0</v>
      </c>
      <c r="M303" s="530">
        <v>0</v>
      </c>
      <c r="N303" s="531" t="s">
        <v>791</v>
      </c>
      <c r="O303" s="532" t="s">
        <v>721</v>
      </c>
      <c r="P303" s="504"/>
      <c r="Q303" s="503"/>
      <c r="R303" s="504">
        <f t="shared" si="22"/>
        <v>0</v>
      </c>
      <c r="S303" s="504">
        <f t="shared" si="22"/>
        <v>1</v>
      </c>
      <c r="T303" s="504">
        <f t="shared" si="22"/>
        <v>0</v>
      </c>
      <c r="U303" s="504">
        <f t="shared" si="22"/>
        <v>0</v>
      </c>
      <c r="V303" s="504">
        <f t="shared" si="22"/>
        <v>0</v>
      </c>
      <c r="W303" s="504">
        <f t="shared" si="22"/>
        <v>-1</v>
      </c>
      <c r="X303" s="504">
        <f t="shared" si="22"/>
        <v>0</v>
      </c>
      <c r="Y303" s="503"/>
    </row>
    <row r="304" spans="3:25" ht="21" x14ac:dyDescent="0.5">
      <c r="C304" s="505" t="s">
        <v>703</v>
      </c>
      <c r="D304" s="506" t="str">
        <f>VLOOKUP(C298,overview_of_services!$B$2:$I$123,6,FALSE)</f>
        <v>VPP operations (price based)</v>
      </c>
      <c r="E304" s="499">
        <v>0</v>
      </c>
      <c r="F304" s="499" t="s">
        <v>700</v>
      </c>
      <c r="G304" s="499" t="s">
        <v>697</v>
      </c>
      <c r="H304" s="499" t="s">
        <v>697</v>
      </c>
      <c r="I304" s="499">
        <v>0</v>
      </c>
      <c r="J304" s="499" t="s">
        <v>697</v>
      </c>
      <c r="K304" s="499">
        <v>0</v>
      </c>
      <c r="L304" s="530">
        <v>0</v>
      </c>
      <c r="M304" s="530">
        <v>0</v>
      </c>
      <c r="N304" s="531" t="s">
        <v>791</v>
      </c>
      <c r="O304" s="532" t="s">
        <v>721</v>
      </c>
      <c r="P304" s="504"/>
      <c r="Q304" s="503"/>
      <c r="R304" s="504">
        <f t="shared" si="22"/>
        <v>0</v>
      </c>
      <c r="S304" s="504">
        <f t="shared" si="22"/>
        <v>1</v>
      </c>
      <c r="T304" s="504">
        <f t="shared" si="22"/>
        <v>-1</v>
      </c>
      <c r="U304" s="504">
        <f t="shared" si="22"/>
        <v>-1</v>
      </c>
      <c r="V304" s="504">
        <f t="shared" si="22"/>
        <v>0</v>
      </c>
      <c r="W304" s="504">
        <f t="shared" si="22"/>
        <v>-1</v>
      </c>
      <c r="X304" s="504">
        <f t="shared" si="22"/>
        <v>0</v>
      </c>
      <c r="Y304" s="503"/>
    </row>
    <row r="305" spans="3:25" ht="21" x14ac:dyDescent="0.5">
      <c r="C305" s="505" t="s">
        <v>706</v>
      </c>
      <c r="D305" s="506">
        <f>VLOOKUP(C298,overview_of_services!$B$2:$I$123,7,FALSE)</f>
        <v>0</v>
      </c>
      <c r="E305" s="499"/>
      <c r="F305" s="499"/>
      <c r="G305" s="499"/>
      <c r="H305" s="499"/>
      <c r="I305" s="499"/>
      <c r="J305" s="499"/>
      <c r="K305" s="499"/>
      <c r="L305" s="500" t="s">
        <v>721</v>
      </c>
      <c r="M305" s="500" t="s">
        <v>721</v>
      </c>
      <c r="N305" s="501" t="s">
        <v>721</v>
      </c>
      <c r="O305" s="529" t="s">
        <v>721</v>
      </c>
      <c r="P305" s="504"/>
      <c r="Q305" s="503"/>
      <c r="R305" s="504">
        <f t="shared" si="22"/>
        <v>0</v>
      </c>
      <c r="S305" s="504">
        <f t="shared" si="22"/>
        <v>0</v>
      </c>
      <c r="T305" s="504">
        <f t="shared" si="22"/>
        <v>0</v>
      </c>
      <c r="U305" s="504">
        <f t="shared" si="22"/>
        <v>0</v>
      </c>
      <c r="V305" s="504">
        <f t="shared" si="22"/>
        <v>0</v>
      </c>
      <c r="W305" s="504">
        <f t="shared" si="22"/>
        <v>0</v>
      </c>
      <c r="X305" s="504">
        <f t="shared" si="22"/>
        <v>0</v>
      </c>
      <c r="Y305" s="503"/>
    </row>
    <row r="306" spans="3:25" ht="21" x14ac:dyDescent="0.5">
      <c r="C306" s="505" t="s">
        <v>710</v>
      </c>
      <c r="D306" s="506">
        <f>VLOOKUP(C298,overview_of_services!$B$2:$I$123,8,FALSE)</f>
        <v>0</v>
      </c>
      <c r="E306" s="507"/>
      <c r="F306" s="499"/>
      <c r="G306" s="507"/>
      <c r="H306" s="507"/>
      <c r="I306" s="499"/>
      <c r="J306" s="499"/>
      <c r="K306" s="499"/>
      <c r="L306" s="500" t="s">
        <v>721</v>
      </c>
      <c r="M306" s="500" t="s">
        <v>721</v>
      </c>
      <c r="N306" s="501" t="s">
        <v>721</v>
      </c>
      <c r="O306" s="529" t="s">
        <v>721</v>
      </c>
      <c r="P306" s="504"/>
      <c r="Q306" s="503"/>
      <c r="R306" s="504">
        <f t="shared" si="22"/>
        <v>0</v>
      </c>
      <c r="S306" s="504">
        <f t="shared" si="22"/>
        <v>0</v>
      </c>
      <c r="T306" s="504">
        <f t="shared" si="22"/>
        <v>0</v>
      </c>
      <c r="U306" s="504">
        <f t="shared" si="22"/>
        <v>0</v>
      </c>
      <c r="V306" s="504">
        <f t="shared" si="22"/>
        <v>0</v>
      </c>
      <c r="W306" s="504">
        <f t="shared" si="22"/>
        <v>0</v>
      </c>
      <c r="X306" s="504">
        <f t="shared" si="22"/>
        <v>0</v>
      </c>
      <c r="Y306" s="503"/>
    </row>
    <row r="307" spans="3:25" ht="15" thickBot="1" x14ac:dyDescent="0.4">
      <c r="C307" s="504"/>
      <c r="D307" s="504"/>
      <c r="E307" s="508"/>
      <c r="F307" s="508"/>
      <c r="G307" s="508"/>
      <c r="H307" s="508"/>
      <c r="I307" s="508"/>
      <c r="J307" s="508"/>
      <c r="K307" s="508"/>
      <c r="L307" s="504"/>
      <c r="M307" s="504"/>
      <c r="N307" s="504"/>
      <c r="O307" s="504"/>
      <c r="P307" s="504"/>
      <c r="Q307" s="503"/>
      <c r="R307" s="503"/>
      <c r="S307" s="503"/>
      <c r="T307" s="503"/>
      <c r="U307" s="503"/>
      <c r="V307" s="503"/>
      <c r="W307" s="503"/>
      <c r="X307" s="503"/>
      <c r="Y307" s="503"/>
    </row>
    <row r="308" spans="3:25" ht="15" thickBot="1" x14ac:dyDescent="0.4">
      <c r="C308" s="509"/>
      <c r="D308" s="509" t="s">
        <v>712</v>
      </c>
      <c r="E308" s="511" t="s">
        <v>729</v>
      </c>
      <c r="F308" s="511" t="s">
        <v>729</v>
      </c>
      <c r="G308" s="511" t="s">
        <v>729</v>
      </c>
      <c r="H308" s="511" t="s">
        <v>729</v>
      </c>
      <c r="I308" s="511" t="s">
        <v>729</v>
      </c>
      <c r="J308" s="511" t="s">
        <v>729</v>
      </c>
      <c r="K308" s="511" t="s">
        <v>729</v>
      </c>
      <c r="L308" s="511" t="s">
        <v>729</v>
      </c>
      <c r="M308" s="511" t="s">
        <v>729</v>
      </c>
      <c r="N308" s="511" t="s">
        <v>729</v>
      </c>
      <c r="O308" s="513"/>
      <c r="P308" s="504"/>
      <c r="Q308" s="503"/>
      <c r="R308" s="503"/>
      <c r="S308" s="503"/>
      <c r="T308" s="503"/>
      <c r="U308" s="503"/>
      <c r="V308" s="503"/>
      <c r="W308" s="503"/>
      <c r="X308" s="503"/>
      <c r="Y308" s="503"/>
    </row>
    <row r="309" spans="3:25" ht="15" thickBot="1" x14ac:dyDescent="0.4">
      <c r="C309" s="509"/>
      <c r="D309" s="509" t="s">
        <v>714</v>
      </c>
      <c r="E309" s="510"/>
      <c r="F309" s="512"/>
      <c r="G309" s="511"/>
      <c r="H309" s="511"/>
      <c r="I309" s="511"/>
      <c r="J309" s="511"/>
      <c r="K309" s="511"/>
      <c r="L309" s="517"/>
      <c r="M309" s="518"/>
      <c r="N309" s="513"/>
      <c r="O309" s="513"/>
      <c r="P309" s="504"/>
      <c r="Q309" s="503"/>
      <c r="R309" s="503"/>
      <c r="S309" s="503"/>
      <c r="T309" s="503"/>
      <c r="U309" s="503"/>
      <c r="V309" s="503"/>
      <c r="W309" s="503"/>
      <c r="X309" s="503"/>
      <c r="Y309" s="503"/>
    </row>
    <row r="310" spans="3:25" ht="15" thickBot="1" x14ac:dyDescent="0.4"/>
    <row r="311" spans="3:25" ht="15" thickBot="1" x14ac:dyDescent="0.4">
      <c r="C311" s="483" t="s">
        <v>677</v>
      </c>
      <c r="D311" s="484" t="s">
        <v>678</v>
      </c>
      <c r="E311" s="481"/>
      <c r="F311" s="481"/>
      <c r="G311" s="482"/>
      <c r="H311" s="482"/>
      <c r="I311" s="482"/>
      <c r="J311" s="482"/>
      <c r="K311" s="482"/>
      <c r="L311" s="482"/>
      <c r="M311" s="482"/>
      <c r="N311" s="482"/>
      <c r="O311" s="481"/>
    </row>
    <row r="312" spans="3:25" ht="16" thickBot="1" x14ac:dyDescent="0.4">
      <c r="C312" s="487" t="s">
        <v>568</v>
      </c>
      <c r="D312" s="514" t="str">
        <f>VLOOKUP(C312,overview_of_services!$B$2:$I$123,3,FALSE)</f>
        <v>Energy storage penetration prediction</v>
      </c>
      <c r="E312" s="489"/>
      <c r="F312" s="490" t="s">
        <v>680</v>
      </c>
      <c r="G312" s="578" t="str">
        <f>VLOOKUP(C312,overview_of_services!$B$2:$I$123,2,FALSE)</f>
        <v>DSM- Storage</v>
      </c>
      <c r="H312" s="578"/>
      <c r="I312" s="490"/>
      <c r="J312" s="491"/>
      <c r="K312" s="491"/>
      <c r="L312" s="491"/>
      <c r="M312" s="491"/>
      <c r="N312" s="491"/>
      <c r="O312" s="492"/>
      <c r="P312" s="492"/>
      <c r="Q312" s="492"/>
      <c r="R312" s="492" t="s">
        <v>681</v>
      </c>
      <c r="S312" s="492">
        <f>ROW()</f>
        <v>312</v>
      </c>
      <c r="T312" s="492"/>
      <c r="U312" s="492"/>
      <c r="V312" s="492"/>
      <c r="W312" s="492"/>
      <c r="X312" s="492"/>
      <c r="Y312" s="492"/>
    </row>
    <row r="313" spans="3:25" x14ac:dyDescent="0.35">
      <c r="C313" s="493"/>
      <c r="D313" s="493"/>
      <c r="E313" s="493"/>
      <c r="F313" s="493"/>
      <c r="G313" s="493"/>
      <c r="H313" s="493"/>
      <c r="I313" s="493"/>
      <c r="J313" s="493"/>
      <c r="K313" s="493"/>
      <c r="L313" s="493"/>
      <c r="M313" s="493"/>
      <c r="N313" s="493"/>
      <c r="O313" s="493"/>
      <c r="P313" s="481"/>
    </row>
    <row r="314" spans="3:25" x14ac:dyDescent="0.35">
      <c r="C314" s="575" t="s">
        <v>682</v>
      </c>
      <c r="D314" s="575"/>
      <c r="E314" s="577" t="s">
        <v>683</v>
      </c>
      <c r="F314" s="577"/>
      <c r="G314" s="577"/>
      <c r="H314" s="577"/>
      <c r="I314" s="577"/>
      <c r="J314" s="577"/>
      <c r="K314" s="577"/>
      <c r="L314" s="573" t="s">
        <v>684</v>
      </c>
      <c r="M314" s="574"/>
      <c r="N314" s="569" t="s">
        <v>685</v>
      </c>
      <c r="O314" s="571" t="s">
        <v>686</v>
      </c>
      <c r="P314" s="481"/>
    </row>
    <row r="315" spans="3:25" ht="29.5" thickBot="1" x14ac:dyDescent="0.4">
      <c r="C315" s="576"/>
      <c r="D315" s="576"/>
      <c r="E315" s="495" t="s">
        <v>687</v>
      </c>
      <c r="F315" s="495" t="s">
        <v>688</v>
      </c>
      <c r="G315" s="495" t="s">
        <v>689</v>
      </c>
      <c r="H315" s="495" t="s">
        <v>690</v>
      </c>
      <c r="I315" s="495" t="s">
        <v>616</v>
      </c>
      <c r="J315" s="495" t="s">
        <v>691</v>
      </c>
      <c r="K315" s="495" t="s">
        <v>692</v>
      </c>
      <c r="L315" s="496" t="s">
        <v>693</v>
      </c>
      <c r="M315" s="496" t="s">
        <v>694</v>
      </c>
      <c r="N315" s="570"/>
      <c r="O315" s="572"/>
      <c r="P315" s="481"/>
    </row>
    <row r="316" spans="3:25" ht="21.5" thickTop="1" x14ac:dyDescent="0.5">
      <c r="C316" s="497" t="s">
        <v>695</v>
      </c>
      <c r="D316" s="498" t="str">
        <f>VLOOKUP(C312,overview_of_services!$B$2:$I$123,4,FALSE)</f>
        <v>None</v>
      </c>
      <c r="E316" s="499">
        <v>0</v>
      </c>
      <c r="F316" s="499">
        <v>0</v>
      </c>
      <c r="G316" s="499">
        <v>0</v>
      </c>
      <c r="H316" s="499">
        <v>0</v>
      </c>
      <c r="I316" s="499">
        <v>0</v>
      </c>
      <c r="J316" s="499">
        <v>0</v>
      </c>
      <c r="K316" s="499">
        <v>0</v>
      </c>
      <c r="L316" s="530" t="s">
        <v>696</v>
      </c>
      <c r="M316" s="530" t="s">
        <v>696</v>
      </c>
      <c r="N316" s="531">
        <v>0</v>
      </c>
      <c r="O316" s="532" t="s">
        <v>721</v>
      </c>
      <c r="P316" s="504"/>
      <c r="Q316" s="503"/>
      <c r="R316" s="504">
        <f t="shared" ref="R316:X320" si="23">IF(E316=0,0,(IF(E316="+",1,(IF(E316="++",2,(IF(E316="+++",3,(IF(E316="++++",4,(IF(E316="-",-1,(IF(E316="--",-2,(IF(E316="---",-3,(IF(E316="----",-4,"NA")))))))))))))))))</f>
        <v>0</v>
      </c>
      <c r="S316" s="504">
        <f t="shared" si="23"/>
        <v>0</v>
      </c>
      <c r="T316" s="504">
        <f t="shared" si="23"/>
        <v>0</v>
      </c>
      <c r="U316" s="504">
        <f t="shared" si="23"/>
        <v>0</v>
      </c>
      <c r="V316" s="504">
        <f t="shared" si="23"/>
        <v>0</v>
      </c>
      <c r="W316" s="504">
        <f t="shared" si="23"/>
        <v>0</v>
      </c>
      <c r="X316" s="504">
        <f t="shared" si="23"/>
        <v>0</v>
      </c>
      <c r="Y316" s="503"/>
    </row>
    <row r="317" spans="3:25" ht="21" x14ac:dyDescent="0.5">
      <c r="C317" s="505" t="s">
        <v>699</v>
      </c>
      <c r="D317" s="506" t="str">
        <f>VLOOKUP(C312,overview_of_services!$B$2:$I$123,5,FALSE)</f>
        <v>local forecast</v>
      </c>
      <c r="E317" s="499" t="s">
        <v>700</v>
      </c>
      <c r="F317" s="499" t="s">
        <v>704</v>
      </c>
      <c r="G317" s="499">
        <v>0</v>
      </c>
      <c r="H317" s="499">
        <v>0</v>
      </c>
      <c r="I317" s="499">
        <v>0</v>
      </c>
      <c r="J317" s="499" t="s">
        <v>697</v>
      </c>
      <c r="K317" s="499">
        <v>0</v>
      </c>
      <c r="L317" s="530">
        <v>0</v>
      </c>
      <c r="M317" s="530" t="s">
        <v>700</v>
      </c>
      <c r="N317" s="531" t="s">
        <v>791</v>
      </c>
      <c r="O317" s="532" t="s">
        <v>721</v>
      </c>
      <c r="P317" s="504"/>
      <c r="Q317" s="503"/>
      <c r="R317" s="504">
        <f t="shared" si="23"/>
        <v>1</v>
      </c>
      <c r="S317" s="504">
        <f t="shared" si="23"/>
        <v>2</v>
      </c>
      <c r="T317" s="504">
        <f t="shared" si="23"/>
        <v>0</v>
      </c>
      <c r="U317" s="504">
        <f t="shared" si="23"/>
        <v>0</v>
      </c>
      <c r="V317" s="504">
        <f t="shared" si="23"/>
        <v>0</v>
      </c>
      <c r="W317" s="504">
        <f t="shared" si="23"/>
        <v>-1</v>
      </c>
      <c r="X317" s="504">
        <f t="shared" si="23"/>
        <v>0</v>
      </c>
      <c r="Y317" s="503"/>
    </row>
    <row r="318" spans="3:25" ht="21" x14ac:dyDescent="0.5">
      <c r="C318" s="505" t="s">
        <v>703</v>
      </c>
      <c r="D318" s="506" t="str">
        <f>VLOOKUP(C312,overview_of_services!$B$2:$I$123,6,FALSE)</f>
        <v>microgrid based forecast</v>
      </c>
      <c r="E318" s="499" t="s">
        <v>700</v>
      </c>
      <c r="F318" s="499" t="s">
        <v>704</v>
      </c>
      <c r="G318" s="499">
        <v>0</v>
      </c>
      <c r="H318" s="499">
        <v>0</v>
      </c>
      <c r="I318" s="499">
        <v>0</v>
      </c>
      <c r="J318" s="499" t="s">
        <v>697</v>
      </c>
      <c r="K318" s="499">
        <v>0</v>
      </c>
      <c r="L318" s="530">
        <v>0</v>
      </c>
      <c r="M318" s="530" t="s">
        <v>700</v>
      </c>
      <c r="N318" s="531" t="s">
        <v>791</v>
      </c>
      <c r="O318" s="532" t="s">
        <v>721</v>
      </c>
      <c r="P318" s="504"/>
      <c r="Q318" s="503"/>
      <c r="R318" s="504">
        <f t="shared" si="23"/>
        <v>1</v>
      </c>
      <c r="S318" s="504">
        <f t="shared" si="23"/>
        <v>2</v>
      </c>
      <c r="T318" s="504">
        <f t="shared" si="23"/>
        <v>0</v>
      </c>
      <c r="U318" s="504">
        <f t="shared" si="23"/>
        <v>0</v>
      </c>
      <c r="V318" s="504">
        <f t="shared" si="23"/>
        <v>0</v>
      </c>
      <c r="W318" s="504">
        <f t="shared" si="23"/>
        <v>-1</v>
      </c>
      <c r="X318" s="504">
        <f t="shared" si="23"/>
        <v>0</v>
      </c>
      <c r="Y318" s="503"/>
    </row>
    <row r="319" spans="3:25" ht="21" x14ac:dyDescent="0.5">
      <c r="C319" s="505" t="s">
        <v>706</v>
      </c>
      <c r="D319" s="506">
        <f>VLOOKUP(C312,overview_of_services!$B$2:$I$123,7,FALSE)</f>
        <v>0</v>
      </c>
      <c r="E319" s="499"/>
      <c r="F319" s="499"/>
      <c r="G319" s="499"/>
      <c r="H319" s="499"/>
      <c r="I319" s="499"/>
      <c r="J319" s="499"/>
      <c r="K319" s="499"/>
      <c r="L319" s="500" t="s">
        <v>721</v>
      </c>
      <c r="M319" s="500" t="s">
        <v>721</v>
      </c>
      <c r="N319" s="501" t="s">
        <v>721</v>
      </c>
      <c r="O319" s="529" t="s">
        <v>721</v>
      </c>
      <c r="P319" s="504"/>
      <c r="Q319" s="503"/>
      <c r="R319" s="504">
        <f t="shared" si="23"/>
        <v>0</v>
      </c>
      <c r="S319" s="504">
        <f t="shared" si="23"/>
        <v>0</v>
      </c>
      <c r="T319" s="504">
        <f t="shared" si="23"/>
        <v>0</v>
      </c>
      <c r="U319" s="504">
        <f t="shared" si="23"/>
        <v>0</v>
      </c>
      <c r="V319" s="504">
        <f t="shared" si="23"/>
        <v>0</v>
      </c>
      <c r="W319" s="504">
        <f t="shared" si="23"/>
        <v>0</v>
      </c>
      <c r="X319" s="504">
        <f t="shared" si="23"/>
        <v>0</v>
      </c>
      <c r="Y319" s="503"/>
    </row>
    <row r="320" spans="3:25" ht="21" x14ac:dyDescent="0.5">
      <c r="C320" s="505" t="s">
        <v>710</v>
      </c>
      <c r="D320" s="506">
        <f>VLOOKUP(C312,overview_of_services!$B$2:$I$123,8,FALSE)</f>
        <v>0</v>
      </c>
      <c r="E320" s="507"/>
      <c r="F320" s="499"/>
      <c r="G320" s="507"/>
      <c r="H320" s="507"/>
      <c r="I320" s="499"/>
      <c r="J320" s="499"/>
      <c r="K320" s="499"/>
      <c r="L320" s="500" t="s">
        <v>721</v>
      </c>
      <c r="M320" s="500" t="s">
        <v>721</v>
      </c>
      <c r="N320" s="501" t="s">
        <v>721</v>
      </c>
      <c r="O320" s="529" t="s">
        <v>721</v>
      </c>
      <c r="P320" s="504"/>
      <c r="Q320" s="503"/>
      <c r="R320" s="504">
        <f t="shared" si="23"/>
        <v>0</v>
      </c>
      <c r="S320" s="504">
        <f t="shared" si="23"/>
        <v>0</v>
      </c>
      <c r="T320" s="504">
        <f t="shared" si="23"/>
        <v>0</v>
      </c>
      <c r="U320" s="504">
        <f t="shared" si="23"/>
        <v>0</v>
      </c>
      <c r="V320" s="504">
        <f t="shared" si="23"/>
        <v>0</v>
      </c>
      <c r="W320" s="504">
        <f t="shared" si="23"/>
        <v>0</v>
      </c>
      <c r="X320" s="504">
        <f t="shared" si="23"/>
        <v>0</v>
      </c>
      <c r="Y320" s="503"/>
    </row>
    <row r="321" spans="3:25" ht="15" thickBot="1" x14ac:dyDescent="0.4">
      <c r="C321" s="504"/>
      <c r="D321" s="504"/>
      <c r="E321" s="508"/>
      <c r="F321" s="508"/>
      <c r="G321" s="508"/>
      <c r="H321" s="508"/>
      <c r="I321" s="508"/>
      <c r="J321" s="508"/>
      <c r="K321" s="508"/>
      <c r="L321" s="504"/>
      <c r="M321" s="504"/>
      <c r="N321" s="504"/>
      <c r="O321" s="504"/>
      <c r="P321" s="504"/>
      <c r="Q321" s="503"/>
      <c r="R321" s="503"/>
      <c r="S321" s="503"/>
      <c r="T321" s="503"/>
      <c r="U321" s="503"/>
      <c r="V321" s="503"/>
      <c r="W321" s="503"/>
      <c r="X321" s="503"/>
      <c r="Y321" s="503"/>
    </row>
    <row r="322" spans="3:25" ht="15" thickBot="1" x14ac:dyDescent="0.4">
      <c r="C322" s="509"/>
      <c r="D322" s="509" t="s">
        <v>712</v>
      </c>
      <c r="E322" s="511" t="s">
        <v>729</v>
      </c>
      <c r="F322" s="511" t="s">
        <v>729</v>
      </c>
      <c r="G322" s="511" t="s">
        <v>729</v>
      </c>
      <c r="H322" s="511" t="s">
        <v>729</v>
      </c>
      <c r="I322" s="511" t="s">
        <v>729</v>
      </c>
      <c r="J322" s="511" t="s">
        <v>729</v>
      </c>
      <c r="K322" s="511" t="s">
        <v>729</v>
      </c>
      <c r="L322" s="511" t="s">
        <v>729</v>
      </c>
      <c r="M322" s="511" t="s">
        <v>729</v>
      </c>
      <c r="N322" s="511" t="s">
        <v>729</v>
      </c>
      <c r="O322" s="513"/>
      <c r="P322" s="504"/>
      <c r="Q322" s="503"/>
      <c r="R322" s="503"/>
      <c r="S322" s="503"/>
      <c r="T322" s="503"/>
      <c r="U322" s="503"/>
      <c r="V322" s="503"/>
      <c r="W322" s="503"/>
      <c r="X322" s="503"/>
      <c r="Y322" s="503"/>
    </row>
    <row r="323" spans="3:25" ht="15" thickBot="1" x14ac:dyDescent="0.4">
      <c r="C323" s="509"/>
      <c r="D323" s="509" t="s">
        <v>714</v>
      </c>
      <c r="E323" s="510"/>
      <c r="F323" s="512"/>
      <c r="G323" s="511"/>
      <c r="H323" s="511"/>
      <c r="I323" s="511"/>
      <c r="J323" s="511"/>
      <c r="K323" s="511"/>
      <c r="L323" s="517"/>
      <c r="M323" s="518"/>
      <c r="N323" s="513"/>
      <c r="O323" s="513"/>
    </row>
    <row r="324" spans="3:25" ht="15" thickBot="1" x14ac:dyDescent="0.4"/>
    <row r="325" spans="3:25" ht="15" thickBot="1" x14ac:dyDescent="0.4">
      <c r="C325" s="483" t="s">
        <v>677</v>
      </c>
      <c r="D325" s="484" t="s">
        <v>678</v>
      </c>
      <c r="E325" s="481"/>
      <c r="F325" s="481"/>
      <c r="G325" s="482"/>
      <c r="H325" s="482"/>
      <c r="I325" s="482"/>
      <c r="J325" s="482"/>
      <c r="K325" s="482"/>
      <c r="L325" s="482"/>
      <c r="M325" s="482"/>
      <c r="N325" s="482"/>
      <c r="O325" s="481"/>
    </row>
    <row r="326" spans="3:25" ht="16" thickBot="1" x14ac:dyDescent="0.4">
      <c r="C326" s="487" t="s">
        <v>572</v>
      </c>
      <c r="D326" s="514" t="str">
        <f>VLOOKUP(C326,overview_of_services!$B$2:$I$123,3,FALSE)</f>
        <v>Smart Grid Integration</v>
      </c>
      <c r="E326" s="489"/>
      <c r="F326" s="490" t="s">
        <v>680</v>
      </c>
      <c r="G326" s="578" t="str">
        <f>VLOOKUP(C326,overview_of_services!$B$2:$I$123,2,FALSE)</f>
        <v>Smart Grid Integration</v>
      </c>
      <c r="H326" s="578"/>
      <c r="I326" s="490"/>
      <c r="J326" s="491"/>
      <c r="K326" s="491"/>
      <c r="L326" s="491"/>
      <c r="M326" s="491"/>
      <c r="N326" s="491"/>
      <c r="O326" s="492"/>
      <c r="P326" s="492"/>
      <c r="Q326" s="492"/>
      <c r="R326" s="492" t="s">
        <v>681</v>
      </c>
      <c r="S326" s="492">
        <f>ROW()</f>
        <v>326</v>
      </c>
      <c r="T326" s="492"/>
      <c r="U326" s="492"/>
      <c r="V326" s="492"/>
      <c r="W326" s="492"/>
      <c r="X326" s="492"/>
      <c r="Y326" s="492"/>
    </row>
    <row r="327" spans="3:25" x14ac:dyDescent="0.35">
      <c r="C327" s="493"/>
      <c r="D327" s="493"/>
      <c r="E327" s="493"/>
      <c r="F327" s="493"/>
      <c r="G327" s="493"/>
      <c r="H327" s="493"/>
      <c r="I327" s="493"/>
      <c r="J327" s="493"/>
      <c r="K327" s="493"/>
      <c r="L327" s="493"/>
      <c r="M327" s="493"/>
      <c r="N327" s="493"/>
      <c r="O327" s="493"/>
      <c r="P327" s="481"/>
    </row>
    <row r="328" spans="3:25" x14ac:dyDescent="0.35">
      <c r="C328" s="575" t="s">
        <v>682</v>
      </c>
      <c r="D328" s="575"/>
      <c r="E328" s="577" t="s">
        <v>683</v>
      </c>
      <c r="F328" s="577"/>
      <c r="G328" s="577"/>
      <c r="H328" s="577"/>
      <c r="I328" s="577"/>
      <c r="J328" s="577"/>
      <c r="K328" s="577"/>
      <c r="L328" s="573" t="s">
        <v>684</v>
      </c>
      <c r="M328" s="574"/>
      <c r="N328" s="569" t="s">
        <v>685</v>
      </c>
      <c r="O328" s="571" t="s">
        <v>686</v>
      </c>
      <c r="P328" s="481"/>
    </row>
    <row r="329" spans="3:25" ht="29.5" thickBot="1" x14ac:dyDescent="0.4">
      <c r="C329" s="576"/>
      <c r="D329" s="576"/>
      <c r="E329" s="495" t="s">
        <v>687</v>
      </c>
      <c r="F329" s="495" t="s">
        <v>688</v>
      </c>
      <c r="G329" s="495" t="s">
        <v>689</v>
      </c>
      <c r="H329" s="495" t="s">
        <v>690</v>
      </c>
      <c r="I329" s="495" t="s">
        <v>616</v>
      </c>
      <c r="J329" s="495" t="s">
        <v>691</v>
      </c>
      <c r="K329" s="495" t="s">
        <v>692</v>
      </c>
      <c r="L329" s="496" t="s">
        <v>693</v>
      </c>
      <c r="M329" s="496" t="s">
        <v>694</v>
      </c>
      <c r="N329" s="570"/>
      <c r="O329" s="572"/>
      <c r="P329" s="481"/>
    </row>
    <row r="330" spans="3:25" ht="29.5" thickTop="1" x14ac:dyDescent="0.5">
      <c r="C330" s="497" t="s">
        <v>695</v>
      </c>
      <c r="D330" s="498" t="str">
        <f>VLOOKUP(C326,overview_of_services!$B$2:$I$123,4,FALSE)</f>
        <v xml:space="preserve">None - No harmonization between grid and building energy systems; building is operated independently from the grid load </v>
      </c>
      <c r="E330" s="499">
        <v>0</v>
      </c>
      <c r="F330" s="499">
        <v>0</v>
      </c>
      <c r="G330" s="499">
        <v>0</v>
      </c>
      <c r="H330" s="499">
        <v>0</v>
      </c>
      <c r="I330" s="499">
        <v>0</v>
      </c>
      <c r="J330" s="499">
        <v>0</v>
      </c>
      <c r="K330" s="499">
        <v>0</v>
      </c>
      <c r="L330" s="530" t="s">
        <v>696</v>
      </c>
      <c r="M330" s="530" t="s">
        <v>696</v>
      </c>
      <c r="N330" s="531">
        <v>0</v>
      </c>
      <c r="O330" s="532" t="s">
        <v>721</v>
      </c>
      <c r="P330" s="504"/>
      <c r="Q330" s="503"/>
      <c r="R330" s="504">
        <f t="shared" ref="R330:X334" si="24">IF(E330=0,0,(IF(E330="+",1,(IF(E330="++",2,(IF(E330="+++",3,(IF(E330="++++",4,(IF(E330="-",-1,(IF(E330="--",-2,(IF(E330="---",-3,(IF(E330="----",-4,"NA")))))))))))))))))</f>
        <v>0</v>
      </c>
      <c r="S330" s="504">
        <f t="shared" si="24"/>
        <v>0</v>
      </c>
      <c r="T330" s="504">
        <f t="shared" si="24"/>
        <v>0</v>
      </c>
      <c r="U330" s="504">
        <f t="shared" si="24"/>
        <v>0</v>
      </c>
      <c r="V330" s="504">
        <f t="shared" si="24"/>
        <v>0</v>
      </c>
      <c r="W330" s="504">
        <f t="shared" si="24"/>
        <v>0</v>
      </c>
      <c r="X330" s="504">
        <f t="shared" si="24"/>
        <v>0</v>
      </c>
      <c r="Y330" s="503"/>
    </row>
    <row r="331" spans="3:25" ht="29" x14ac:dyDescent="0.5">
      <c r="C331" s="505" t="s">
        <v>699</v>
      </c>
      <c r="D331" s="506" t="str">
        <f>VLOOKUP(C326,overview_of_services!$B$2:$I$123,5,FALSE)</f>
        <v>Building energy systems are managed and operated depending on grid load; demand side management is used for load shifting</v>
      </c>
      <c r="E331" s="499">
        <v>0</v>
      </c>
      <c r="F331" s="499" t="s">
        <v>707</v>
      </c>
      <c r="G331" s="499">
        <v>0</v>
      </c>
      <c r="H331" s="499">
        <v>0</v>
      </c>
      <c r="I331" s="499">
        <v>0</v>
      </c>
      <c r="J331" s="499">
        <v>0</v>
      </c>
      <c r="K331" s="499">
        <v>0</v>
      </c>
      <c r="L331" s="530">
        <v>0</v>
      </c>
      <c r="M331" s="530" t="s">
        <v>700</v>
      </c>
      <c r="N331" s="531" t="s">
        <v>791</v>
      </c>
      <c r="O331" s="532" t="s">
        <v>721</v>
      </c>
      <c r="P331" s="504"/>
      <c r="Q331" s="503"/>
      <c r="R331" s="504">
        <f t="shared" si="24"/>
        <v>0</v>
      </c>
      <c r="S331" s="504">
        <f t="shared" si="24"/>
        <v>3</v>
      </c>
      <c r="T331" s="504">
        <f t="shared" si="24"/>
        <v>0</v>
      </c>
      <c r="U331" s="504">
        <f t="shared" si="24"/>
        <v>0</v>
      </c>
      <c r="V331" s="504">
        <f t="shared" si="24"/>
        <v>0</v>
      </c>
      <c r="W331" s="504">
        <f t="shared" si="24"/>
        <v>0</v>
      </c>
      <c r="X331" s="504">
        <f t="shared" si="24"/>
        <v>0</v>
      </c>
      <c r="Y331" s="503"/>
    </row>
    <row r="332" spans="3:25" ht="21" x14ac:dyDescent="0.5">
      <c r="C332" s="505" t="s">
        <v>703</v>
      </c>
      <c r="D332" s="506">
        <f>VLOOKUP(C326,overview_of_services!$B$2:$I$123,6,FALSE)</f>
        <v>0</v>
      </c>
      <c r="E332" s="499"/>
      <c r="F332" s="499"/>
      <c r="G332" s="499"/>
      <c r="H332" s="499"/>
      <c r="I332" s="499"/>
      <c r="J332" s="499"/>
      <c r="K332" s="499"/>
      <c r="L332" s="530"/>
      <c r="M332" s="530"/>
      <c r="N332" s="531"/>
      <c r="O332" s="532" t="s">
        <v>721</v>
      </c>
      <c r="P332" s="504"/>
      <c r="Q332" s="503"/>
      <c r="R332" s="504">
        <f t="shared" si="24"/>
        <v>0</v>
      </c>
      <c r="S332" s="504">
        <f t="shared" si="24"/>
        <v>0</v>
      </c>
      <c r="T332" s="504">
        <f t="shared" si="24"/>
        <v>0</v>
      </c>
      <c r="U332" s="504">
        <f t="shared" si="24"/>
        <v>0</v>
      </c>
      <c r="V332" s="504">
        <f t="shared" si="24"/>
        <v>0</v>
      </c>
      <c r="W332" s="504">
        <f t="shared" si="24"/>
        <v>0</v>
      </c>
      <c r="X332" s="504">
        <f t="shared" si="24"/>
        <v>0</v>
      </c>
      <c r="Y332" s="503"/>
    </row>
    <row r="333" spans="3:25" ht="21" x14ac:dyDescent="0.5">
      <c r="C333" s="505" t="s">
        <v>706</v>
      </c>
      <c r="D333" s="506">
        <f>VLOOKUP(C326,overview_of_services!$B$2:$I$123,7,FALSE)</f>
        <v>0</v>
      </c>
      <c r="E333" s="499"/>
      <c r="F333" s="499"/>
      <c r="G333" s="499"/>
      <c r="H333" s="499"/>
      <c r="I333" s="499"/>
      <c r="J333" s="499"/>
      <c r="K333" s="499"/>
      <c r="L333" s="500"/>
      <c r="M333" s="500"/>
      <c r="N333" s="501"/>
      <c r="O333" s="529" t="s">
        <v>721</v>
      </c>
      <c r="P333" s="504"/>
      <c r="Q333" s="503"/>
      <c r="R333" s="504">
        <f t="shared" si="24"/>
        <v>0</v>
      </c>
      <c r="S333" s="504">
        <f t="shared" si="24"/>
        <v>0</v>
      </c>
      <c r="T333" s="504">
        <f t="shared" si="24"/>
        <v>0</v>
      </c>
      <c r="U333" s="504">
        <f t="shared" si="24"/>
        <v>0</v>
      </c>
      <c r="V333" s="504">
        <f t="shared" si="24"/>
        <v>0</v>
      </c>
      <c r="W333" s="504">
        <f t="shared" si="24"/>
        <v>0</v>
      </c>
      <c r="X333" s="504">
        <f t="shared" si="24"/>
        <v>0</v>
      </c>
      <c r="Y333" s="503"/>
    </row>
    <row r="334" spans="3:25" ht="21" x14ac:dyDescent="0.5">
      <c r="C334" s="505" t="s">
        <v>710</v>
      </c>
      <c r="D334" s="506">
        <f>VLOOKUP(C326,overview_of_services!$B$2:$I$123,8,FALSE)</f>
        <v>0</v>
      </c>
      <c r="E334" s="507"/>
      <c r="F334" s="499"/>
      <c r="G334" s="507"/>
      <c r="H334" s="507"/>
      <c r="I334" s="499"/>
      <c r="J334" s="499"/>
      <c r="K334" s="499"/>
      <c r="L334" s="500"/>
      <c r="M334" s="500"/>
      <c r="N334" s="501"/>
      <c r="O334" s="529" t="s">
        <v>721</v>
      </c>
      <c r="P334" s="504"/>
      <c r="Q334" s="503"/>
      <c r="R334" s="504">
        <f t="shared" si="24"/>
        <v>0</v>
      </c>
      <c r="S334" s="504">
        <f t="shared" si="24"/>
        <v>0</v>
      </c>
      <c r="T334" s="504">
        <f t="shared" si="24"/>
        <v>0</v>
      </c>
      <c r="U334" s="504">
        <f t="shared" si="24"/>
        <v>0</v>
      </c>
      <c r="V334" s="504">
        <f t="shared" si="24"/>
        <v>0</v>
      </c>
      <c r="W334" s="504">
        <f t="shared" si="24"/>
        <v>0</v>
      </c>
      <c r="X334" s="504">
        <f t="shared" si="24"/>
        <v>0</v>
      </c>
      <c r="Y334" s="503"/>
    </row>
    <row r="335" spans="3:25" ht="15" thickBot="1" x14ac:dyDescent="0.4">
      <c r="C335" s="504"/>
      <c r="D335" s="504"/>
      <c r="E335" s="508"/>
      <c r="F335" s="508"/>
      <c r="G335" s="508"/>
      <c r="H335" s="508"/>
      <c r="I335" s="508"/>
      <c r="J335" s="508"/>
      <c r="K335" s="508"/>
      <c r="L335" s="504"/>
      <c r="M335" s="504"/>
      <c r="N335" s="504"/>
      <c r="O335" s="504"/>
      <c r="P335" s="504"/>
      <c r="Q335" s="503"/>
      <c r="R335" s="503"/>
      <c r="S335" s="503"/>
      <c r="T335" s="503"/>
      <c r="U335" s="503"/>
      <c r="V335" s="503"/>
      <c r="W335" s="503"/>
      <c r="X335" s="503"/>
      <c r="Y335" s="503"/>
    </row>
    <row r="336" spans="3:25" ht="15" thickBot="1" x14ac:dyDescent="0.4">
      <c r="C336" s="509"/>
      <c r="D336" s="509" t="s">
        <v>712</v>
      </c>
      <c r="E336" s="511" t="s">
        <v>729</v>
      </c>
      <c r="F336" s="511" t="s">
        <v>729</v>
      </c>
      <c r="G336" s="511" t="s">
        <v>729</v>
      </c>
      <c r="H336" s="511" t="s">
        <v>729</v>
      </c>
      <c r="I336" s="511" t="s">
        <v>729</v>
      </c>
      <c r="J336" s="511" t="s">
        <v>729</v>
      </c>
      <c r="K336" s="511" t="s">
        <v>729</v>
      </c>
      <c r="L336" s="511" t="s">
        <v>729</v>
      </c>
      <c r="M336" s="511" t="s">
        <v>729</v>
      </c>
      <c r="N336" s="511" t="s">
        <v>729</v>
      </c>
      <c r="O336" s="513"/>
      <c r="P336" s="504"/>
      <c r="Q336" s="503"/>
      <c r="R336" s="503"/>
      <c r="S336" s="503"/>
      <c r="T336" s="503"/>
      <c r="U336" s="503"/>
      <c r="V336" s="503"/>
      <c r="W336" s="503"/>
      <c r="X336" s="503"/>
      <c r="Y336" s="503"/>
    </row>
    <row r="337" spans="3:25" ht="15" thickBot="1" x14ac:dyDescent="0.4">
      <c r="C337" s="509"/>
      <c r="D337" s="509" t="s">
        <v>714</v>
      </c>
      <c r="E337" s="510"/>
      <c r="F337" s="512"/>
      <c r="G337" s="511"/>
      <c r="H337" s="511"/>
      <c r="I337" s="511"/>
      <c r="J337" s="511"/>
      <c r="K337" s="511"/>
      <c r="L337" s="517"/>
      <c r="M337" s="518"/>
      <c r="N337" s="513"/>
      <c r="O337" s="513"/>
    </row>
    <row r="338" spans="3:25" ht="15" thickBot="1" x14ac:dyDescent="0.4"/>
    <row r="339" spans="3:25" ht="15" thickBot="1" x14ac:dyDescent="0.4">
      <c r="C339" s="483" t="s">
        <v>677</v>
      </c>
      <c r="D339" s="484" t="s">
        <v>678</v>
      </c>
      <c r="E339" s="481"/>
      <c r="F339" s="481"/>
      <c r="G339" s="482"/>
      <c r="H339" s="482"/>
      <c r="I339" s="482"/>
      <c r="J339" s="482"/>
      <c r="K339" s="482"/>
      <c r="L339" s="482"/>
      <c r="M339" s="482"/>
      <c r="N339" s="482"/>
      <c r="O339" s="481"/>
    </row>
    <row r="340" spans="3:25" ht="16" thickBot="1" x14ac:dyDescent="0.4">
      <c r="C340" s="487" t="s">
        <v>579</v>
      </c>
      <c r="D340" s="514" t="str">
        <f>VLOOKUP(C340,overview_of_services!$B$2:$I$123,3,FALSE)</f>
        <v>DSM control of equipment</v>
      </c>
      <c r="E340" s="489"/>
      <c r="F340" s="490" t="s">
        <v>680</v>
      </c>
      <c r="G340" s="578" t="str">
        <f>VLOOKUP(C340,overview_of_services!$B$2:$I$123,2,FALSE)</f>
        <v>DSM control of equipment</v>
      </c>
      <c r="H340" s="578"/>
      <c r="I340" s="490"/>
      <c r="J340" s="491"/>
      <c r="K340" s="491"/>
      <c r="L340" s="491"/>
      <c r="M340" s="491"/>
      <c r="N340" s="491"/>
      <c r="O340" s="492"/>
      <c r="P340" s="492"/>
      <c r="Q340" s="492"/>
      <c r="R340" s="492" t="s">
        <v>681</v>
      </c>
      <c r="S340" s="492">
        <f>ROW()</f>
        <v>340</v>
      </c>
      <c r="T340" s="492"/>
      <c r="U340" s="492"/>
      <c r="V340" s="492"/>
      <c r="W340" s="492"/>
      <c r="X340" s="492"/>
      <c r="Y340" s="492"/>
    </row>
    <row r="341" spans="3:25" x14ac:dyDescent="0.35">
      <c r="C341" s="493"/>
      <c r="D341" s="493"/>
      <c r="E341" s="493"/>
      <c r="F341" s="493"/>
      <c r="G341" s="493"/>
      <c r="H341" s="493"/>
      <c r="I341" s="493"/>
      <c r="J341" s="493"/>
      <c r="K341" s="493"/>
      <c r="L341" s="493"/>
      <c r="M341" s="493"/>
      <c r="N341" s="493"/>
      <c r="O341" s="493"/>
      <c r="P341" s="481"/>
    </row>
    <row r="342" spans="3:25" x14ac:dyDescent="0.35">
      <c r="C342" s="575" t="s">
        <v>682</v>
      </c>
      <c r="D342" s="575"/>
      <c r="E342" s="577" t="s">
        <v>683</v>
      </c>
      <c r="F342" s="577"/>
      <c r="G342" s="577"/>
      <c r="H342" s="577"/>
      <c r="I342" s="577"/>
      <c r="J342" s="577"/>
      <c r="K342" s="577"/>
      <c r="L342" s="573" t="s">
        <v>684</v>
      </c>
      <c r="M342" s="574"/>
      <c r="N342" s="569" t="s">
        <v>685</v>
      </c>
      <c r="O342" s="571" t="s">
        <v>686</v>
      </c>
      <c r="P342" s="481"/>
    </row>
    <row r="343" spans="3:25" ht="29.5" thickBot="1" x14ac:dyDescent="0.4">
      <c r="C343" s="576"/>
      <c r="D343" s="576"/>
      <c r="E343" s="495" t="s">
        <v>687</v>
      </c>
      <c r="F343" s="495" t="s">
        <v>688</v>
      </c>
      <c r="G343" s="495" t="s">
        <v>689</v>
      </c>
      <c r="H343" s="495" t="s">
        <v>690</v>
      </c>
      <c r="I343" s="495" t="s">
        <v>616</v>
      </c>
      <c r="J343" s="495" t="s">
        <v>691</v>
      </c>
      <c r="K343" s="495" t="s">
        <v>692</v>
      </c>
      <c r="L343" s="496" t="s">
        <v>693</v>
      </c>
      <c r="M343" s="496" t="s">
        <v>694</v>
      </c>
      <c r="N343" s="570"/>
      <c r="O343" s="572"/>
      <c r="P343" s="481"/>
    </row>
    <row r="344" spans="3:25" ht="21.5" thickTop="1" x14ac:dyDescent="0.5">
      <c r="C344" s="497" t="s">
        <v>695</v>
      </c>
      <c r="D344" s="498" t="str">
        <f>VLOOKUP(C340,overview_of_services!$B$2:$I$123,4,FALSE)</f>
        <v>Not present</v>
      </c>
      <c r="E344" s="499">
        <v>0</v>
      </c>
      <c r="F344" s="499">
        <v>0</v>
      </c>
      <c r="G344" s="499">
        <v>0</v>
      </c>
      <c r="H344" s="499">
        <v>0</v>
      </c>
      <c r="I344" s="499">
        <v>0</v>
      </c>
      <c r="J344" s="499">
        <v>0</v>
      </c>
      <c r="K344" s="499">
        <v>0</v>
      </c>
      <c r="L344" s="530" t="s">
        <v>696</v>
      </c>
      <c r="M344" s="530" t="s">
        <v>696</v>
      </c>
      <c r="N344" s="531">
        <v>0</v>
      </c>
      <c r="O344" s="532" t="s">
        <v>721</v>
      </c>
      <c r="P344" s="504"/>
      <c r="Q344" s="503"/>
      <c r="R344" s="504">
        <f t="shared" ref="R344:X348" si="25">IF(E344=0,0,(IF(E344="+",1,(IF(E344="++",2,(IF(E344="+++",3,(IF(E344="++++",4,(IF(E344="-",-1,(IF(E344="--",-2,(IF(E344="---",-3,(IF(E344="----",-4,"NA")))))))))))))))))</f>
        <v>0</v>
      </c>
      <c r="S344" s="504">
        <f t="shared" si="25"/>
        <v>0</v>
      </c>
      <c r="T344" s="504">
        <f t="shared" si="25"/>
        <v>0</v>
      </c>
      <c r="U344" s="504">
        <f t="shared" si="25"/>
        <v>0</v>
      </c>
      <c r="V344" s="504">
        <f t="shared" si="25"/>
        <v>0</v>
      </c>
      <c r="W344" s="504">
        <f t="shared" si="25"/>
        <v>0</v>
      </c>
      <c r="X344" s="504">
        <f t="shared" si="25"/>
        <v>0</v>
      </c>
      <c r="Y344" s="503"/>
    </row>
    <row r="345" spans="3:25" ht="21" x14ac:dyDescent="0.5">
      <c r="C345" s="505" t="s">
        <v>699</v>
      </c>
      <c r="D345" s="506" t="str">
        <f>VLOOKUP(C340,overview_of_services!$B$2:$I$123,5,FALSE)</f>
        <v>Smart appliances or DHW subject to DSM control</v>
      </c>
      <c r="E345" s="499">
        <v>0</v>
      </c>
      <c r="F345" s="499" t="s">
        <v>700</v>
      </c>
      <c r="G345" s="499">
        <v>0</v>
      </c>
      <c r="H345" s="499">
        <v>0</v>
      </c>
      <c r="I345" s="499">
        <v>0</v>
      </c>
      <c r="J345" s="499">
        <v>0</v>
      </c>
      <c r="K345" s="499">
        <v>0</v>
      </c>
      <c r="L345" s="530">
        <v>0</v>
      </c>
      <c r="M345" s="530" t="s">
        <v>700</v>
      </c>
      <c r="N345" s="531" t="s">
        <v>791</v>
      </c>
      <c r="O345" s="532" t="s">
        <v>721</v>
      </c>
      <c r="P345" s="504"/>
      <c r="Q345" s="503"/>
      <c r="R345" s="504">
        <f t="shared" si="25"/>
        <v>0</v>
      </c>
      <c r="S345" s="504">
        <f t="shared" si="25"/>
        <v>1</v>
      </c>
      <c r="T345" s="504">
        <f t="shared" si="25"/>
        <v>0</v>
      </c>
      <c r="U345" s="504">
        <f t="shared" si="25"/>
        <v>0</v>
      </c>
      <c r="V345" s="504">
        <f t="shared" si="25"/>
        <v>0</v>
      </c>
      <c r="W345" s="504">
        <f t="shared" si="25"/>
        <v>0</v>
      </c>
      <c r="X345" s="504">
        <f t="shared" si="25"/>
        <v>0</v>
      </c>
      <c r="Y345" s="503"/>
    </row>
    <row r="346" spans="3:25" ht="21" x14ac:dyDescent="0.5">
      <c r="C346" s="505" t="s">
        <v>703</v>
      </c>
      <c r="D346" s="506" t="str">
        <f>VLOOKUP(C340,overview_of_services!$B$2:$I$123,6,FALSE)</f>
        <v>Heating or cooling subject to DSM control</v>
      </c>
      <c r="E346" s="499">
        <v>0</v>
      </c>
      <c r="F346" s="499" t="s">
        <v>700</v>
      </c>
      <c r="G346" s="499">
        <v>0</v>
      </c>
      <c r="H346" s="499">
        <v>0</v>
      </c>
      <c r="I346" s="499">
        <v>0</v>
      </c>
      <c r="J346" s="499">
        <v>0</v>
      </c>
      <c r="K346" s="499">
        <v>0</v>
      </c>
      <c r="L346" s="530">
        <v>0</v>
      </c>
      <c r="M346" s="530" t="s">
        <v>700</v>
      </c>
      <c r="N346" s="531" t="s">
        <v>791</v>
      </c>
      <c r="O346" s="532" t="s">
        <v>721</v>
      </c>
      <c r="P346" s="504"/>
      <c r="Q346" s="503"/>
      <c r="R346" s="504">
        <f t="shared" si="25"/>
        <v>0</v>
      </c>
      <c r="S346" s="504">
        <f t="shared" si="25"/>
        <v>1</v>
      </c>
      <c r="T346" s="504">
        <f t="shared" si="25"/>
        <v>0</v>
      </c>
      <c r="U346" s="504">
        <f t="shared" si="25"/>
        <v>0</v>
      </c>
      <c r="V346" s="504">
        <f t="shared" si="25"/>
        <v>0</v>
      </c>
      <c r="W346" s="504">
        <f t="shared" si="25"/>
        <v>0</v>
      </c>
      <c r="X346" s="504">
        <f t="shared" si="25"/>
        <v>0</v>
      </c>
      <c r="Y346" s="503"/>
    </row>
    <row r="347" spans="3:25" ht="21" x14ac:dyDescent="0.5">
      <c r="C347" s="505" t="s">
        <v>706</v>
      </c>
      <c r="D347" s="506" t="str">
        <f>VLOOKUP(C340,overview_of_services!$B$2:$I$123,7,FALSE)</f>
        <v>Heating and cooling subject to DSM control</v>
      </c>
      <c r="E347" s="499">
        <v>0</v>
      </c>
      <c r="F347" s="499" t="s">
        <v>704</v>
      </c>
      <c r="G347" s="499">
        <v>0</v>
      </c>
      <c r="H347" s="499">
        <v>0</v>
      </c>
      <c r="I347" s="499">
        <v>0</v>
      </c>
      <c r="J347" s="499">
        <v>0</v>
      </c>
      <c r="K347" s="499">
        <v>0</v>
      </c>
      <c r="L347" s="500" t="s">
        <v>721</v>
      </c>
      <c r="M347" s="500" t="s">
        <v>721</v>
      </c>
      <c r="N347" s="501" t="s">
        <v>721</v>
      </c>
      <c r="O347" s="529" t="s">
        <v>721</v>
      </c>
      <c r="P347" s="504"/>
      <c r="Q347" s="503"/>
      <c r="R347" s="504">
        <f t="shared" si="25"/>
        <v>0</v>
      </c>
      <c r="S347" s="504">
        <f t="shared" si="25"/>
        <v>2</v>
      </c>
      <c r="T347" s="504">
        <f t="shared" si="25"/>
        <v>0</v>
      </c>
      <c r="U347" s="504">
        <f t="shared" si="25"/>
        <v>0</v>
      </c>
      <c r="V347" s="504">
        <f t="shared" si="25"/>
        <v>0</v>
      </c>
      <c r="W347" s="504">
        <f t="shared" si="25"/>
        <v>0</v>
      </c>
      <c r="X347" s="504">
        <f t="shared" si="25"/>
        <v>0</v>
      </c>
      <c r="Y347" s="503"/>
    </row>
    <row r="348" spans="3:25" ht="35" customHeight="1" x14ac:dyDescent="0.5">
      <c r="C348" s="505" t="s">
        <v>710</v>
      </c>
      <c r="D348" s="506" t="str">
        <f>VLOOKUP(C340,overview_of_services!$B$2:$I$123,8,FALSE)</f>
        <v>Smart appliances, DHW, heating and cooling subject to DSM control</v>
      </c>
      <c r="E348" s="499">
        <v>0</v>
      </c>
      <c r="F348" s="499" t="s">
        <v>707</v>
      </c>
      <c r="G348" s="499">
        <v>0</v>
      </c>
      <c r="H348" s="499">
        <v>0</v>
      </c>
      <c r="I348" s="499">
        <v>0</v>
      </c>
      <c r="J348" s="499">
        <v>0</v>
      </c>
      <c r="K348" s="499">
        <v>0</v>
      </c>
      <c r="L348" s="500" t="s">
        <v>721</v>
      </c>
      <c r="M348" s="500" t="s">
        <v>721</v>
      </c>
      <c r="N348" s="501" t="s">
        <v>721</v>
      </c>
      <c r="O348" s="529" t="s">
        <v>721</v>
      </c>
      <c r="P348" s="504"/>
      <c r="Q348" s="503"/>
      <c r="R348" s="504">
        <f t="shared" si="25"/>
        <v>0</v>
      </c>
      <c r="S348" s="504">
        <f t="shared" si="25"/>
        <v>3</v>
      </c>
      <c r="T348" s="504">
        <f t="shared" si="25"/>
        <v>0</v>
      </c>
      <c r="U348" s="504">
        <f t="shared" si="25"/>
        <v>0</v>
      </c>
      <c r="V348" s="504">
        <f t="shared" si="25"/>
        <v>0</v>
      </c>
      <c r="W348" s="504">
        <f t="shared" si="25"/>
        <v>0</v>
      </c>
      <c r="X348" s="504">
        <f t="shared" si="25"/>
        <v>0</v>
      </c>
      <c r="Y348" s="503"/>
    </row>
    <row r="349" spans="3:25" ht="15" thickBot="1" x14ac:dyDescent="0.4">
      <c r="C349" s="504"/>
      <c r="D349" s="504"/>
      <c r="E349" s="508"/>
      <c r="F349" s="508"/>
      <c r="G349" s="508"/>
      <c r="H349" s="508"/>
      <c r="I349" s="508"/>
      <c r="J349" s="508"/>
      <c r="K349" s="508"/>
      <c r="L349" s="504"/>
      <c r="M349" s="504"/>
      <c r="N349" s="504"/>
      <c r="O349" s="504"/>
      <c r="P349" s="504"/>
      <c r="Q349" s="503"/>
      <c r="R349" s="503"/>
      <c r="S349" s="503"/>
      <c r="T349" s="503"/>
      <c r="U349" s="503"/>
      <c r="V349" s="503"/>
      <c r="W349" s="503"/>
      <c r="X349" s="503"/>
      <c r="Y349" s="503"/>
    </row>
    <row r="350" spans="3:25" ht="15" thickBot="1" x14ac:dyDescent="0.4">
      <c r="C350" s="509"/>
      <c r="D350" s="509" t="s">
        <v>712</v>
      </c>
      <c r="E350" s="511" t="s">
        <v>729</v>
      </c>
      <c r="F350" s="511" t="s">
        <v>729</v>
      </c>
      <c r="G350" s="511" t="s">
        <v>729</v>
      </c>
      <c r="H350" s="511" t="s">
        <v>729</v>
      </c>
      <c r="I350" s="511" t="s">
        <v>729</v>
      </c>
      <c r="J350" s="511" t="s">
        <v>729</v>
      </c>
      <c r="K350" s="511" t="s">
        <v>729</v>
      </c>
      <c r="L350" s="511" t="s">
        <v>729</v>
      </c>
      <c r="M350" s="511" t="s">
        <v>729</v>
      </c>
      <c r="N350" s="511" t="s">
        <v>729</v>
      </c>
      <c r="O350" s="513"/>
      <c r="P350" s="504"/>
      <c r="Q350" s="503"/>
      <c r="R350" s="503"/>
      <c r="S350" s="503"/>
      <c r="T350" s="503"/>
      <c r="U350" s="503"/>
      <c r="V350" s="503"/>
      <c r="W350" s="503"/>
      <c r="X350" s="503"/>
      <c r="Y350" s="503"/>
    </row>
    <row r="351" spans="3:25" ht="15" thickBot="1" x14ac:dyDescent="0.4">
      <c r="C351" s="509"/>
      <c r="D351" s="509" t="s">
        <v>714</v>
      </c>
      <c r="E351" s="510"/>
      <c r="F351" s="512"/>
      <c r="G351" s="511"/>
      <c r="H351" s="511"/>
      <c r="I351" s="511"/>
      <c r="J351" s="511"/>
      <c r="K351" s="511"/>
      <c r="L351" s="517"/>
      <c r="M351" s="518"/>
      <c r="N351" s="513"/>
      <c r="O351" s="513"/>
    </row>
    <row r="352" spans="3:25" ht="15" thickBot="1" x14ac:dyDescent="0.4"/>
    <row r="353" spans="3:25" ht="15" thickBot="1" x14ac:dyDescent="0.4">
      <c r="C353" s="483" t="s">
        <v>677</v>
      </c>
      <c r="D353" s="484" t="s">
        <v>678</v>
      </c>
      <c r="E353" s="481"/>
      <c r="F353" s="481"/>
      <c r="G353" s="482"/>
      <c r="H353" s="482"/>
      <c r="I353" s="482"/>
      <c r="J353" s="482"/>
      <c r="K353" s="482"/>
      <c r="L353" s="482"/>
      <c r="M353" s="482"/>
      <c r="N353" s="482"/>
      <c r="O353" s="481"/>
    </row>
    <row r="354" spans="3:25" ht="16" thickBot="1" x14ac:dyDescent="0.4">
      <c r="C354" s="487" t="s">
        <v>585</v>
      </c>
      <c r="D354" s="514" t="str">
        <f>VLOOKUP(C354,overview_of_services!$B$2:$I$123,3,FALSE)</f>
        <v>Connecting PV to DSO grid</v>
      </c>
      <c r="E354" s="489"/>
      <c r="F354" s="490" t="s">
        <v>680</v>
      </c>
      <c r="G354" s="578" t="str">
        <f>VLOOKUP(C354,overview_of_services!$B$2:$I$123,2,FALSE)</f>
        <v>Connecting PV to DSO grid</v>
      </c>
      <c r="H354" s="578"/>
      <c r="I354" s="490"/>
      <c r="J354" s="491"/>
      <c r="K354" s="491"/>
      <c r="L354" s="491"/>
      <c r="M354" s="491"/>
      <c r="N354" s="491"/>
      <c r="O354" s="492"/>
      <c r="P354" s="492"/>
      <c r="Q354" s="492"/>
      <c r="R354" s="492" t="s">
        <v>681</v>
      </c>
      <c r="S354" s="492">
        <f>ROW()</f>
        <v>354</v>
      </c>
      <c r="T354" s="492"/>
      <c r="U354" s="492"/>
      <c r="V354" s="492"/>
      <c r="W354" s="492"/>
      <c r="X354" s="492"/>
      <c r="Y354" s="492"/>
    </row>
    <row r="355" spans="3:25" x14ac:dyDescent="0.35">
      <c r="C355" s="493"/>
      <c r="D355" s="493"/>
      <c r="E355" s="493"/>
      <c r="F355" s="493"/>
      <c r="G355" s="493"/>
      <c r="H355" s="493"/>
      <c r="I355" s="493"/>
      <c r="J355" s="493"/>
      <c r="K355" s="493"/>
      <c r="L355" s="493"/>
      <c r="M355" s="493"/>
      <c r="N355" s="493"/>
      <c r="O355" s="493"/>
      <c r="P355" s="481"/>
    </row>
    <row r="356" spans="3:25" x14ac:dyDescent="0.35">
      <c r="C356" s="575" t="s">
        <v>682</v>
      </c>
      <c r="D356" s="575"/>
      <c r="E356" s="577" t="s">
        <v>683</v>
      </c>
      <c r="F356" s="577"/>
      <c r="G356" s="577"/>
      <c r="H356" s="577"/>
      <c r="I356" s="577"/>
      <c r="J356" s="577"/>
      <c r="K356" s="577"/>
      <c r="L356" s="573" t="s">
        <v>684</v>
      </c>
      <c r="M356" s="574"/>
      <c r="N356" s="569" t="s">
        <v>685</v>
      </c>
      <c r="O356" s="571" t="s">
        <v>686</v>
      </c>
      <c r="P356" s="481"/>
    </row>
    <row r="357" spans="3:25" ht="29.5" thickBot="1" x14ac:dyDescent="0.4">
      <c r="C357" s="576"/>
      <c r="D357" s="576"/>
      <c r="E357" s="495" t="s">
        <v>687</v>
      </c>
      <c r="F357" s="495" t="s">
        <v>688</v>
      </c>
      <c r="G357" s="495" t="s">
        <v>689</v>
      </c>
      <c r="H357" s="495" t="s">
        <v>690</v>
      </c>
      <c r="I357" s="495" t="s">
        <v>616</v>
      </c>
      <c r="J357" s="495" t="s">
        <v>691</v>
      </c>
      <c r="K357" s="495" t="s">
        <v>692</v>
      </c>
      <c r="L357" s="496" t="s">
        <v>693</v>
      </c>
      <c r="M357" s="496" t="s">
        <v>694</v>
      </c>
      <c r="N357" s="570"/>
      <c r="O357" s="572"/>
      <c r="P357" s="481"/>
    </row>
    <row r="358" spans="3:25" ht="21.5" thickTop="1" x14ac:dyDescent="0.5">
      <c r="C358" s="497" t="s">
        <v>695</v>
      </c>
      <c r="D358" s="498" t="str">
        <f>VLOOKUP(C354,overview_of_services!$B$2:$I$123,4,FALSE)</f>
        <v>none</v>
      </c>
      <c r="E358" s="499">
        <v>0</v>
      </c>
      <c r="F358" s="499">
        <v>0</v>
      </c>
      <c r="G358" s="499">
        <v>0</v>
      </c>
      <c r="H358" s="499">
        <v>0</v>
      </c>
      <c r="I358" s="499">
        <v>0</v>
      </c>
      <c r="J358" s="499">
        <v>0</v>
      </c>
      <c r="K358" s="499">
        <v>0</v>
      </c>
      <c r="L358" s="530" t="s">
        <v>696</v>
      </c>
      <c r="M358" s="530" t="s">
        <v>696</v>
      </c>
      <c r="N358" s="531">
        <v>0</v>
      </c>
      <c r="O358" s="532" t="s">
        <v>721</v>
      </c>
      <c r="P358" s="504"/>
      <c r="Q358" s="503"/>
      <c r="R358" s="504">
        <f t="shared" ref="R358:X362" si="26">IF(E358=0,0,(IF(E358="+",1,(IF(E358="++",2,(IF(E358="+++",3,(IF(E358="++++",4,(IF(E358="-",-1,(IF(E358="--",-2,(IF(E358="---",-3,(IF(E358="----",-4,"NA")))))))))))))))))</f>
        <v>0</v>
      </c>
      <c r="S358" s="504">
        <f t="shared" si="26"/>
        <v>0</v>
      </c>
      <c r="T358" s="504">
        <f t="shared" si="26"/>
        <v>0</v>
      </c>
      <c r="U358" s="504">
        <f t="shared" si="26"/>
        <v>0</v>
      </c>
      <c r="V358" s="504">
        <f t="shared" si="26"/>
        <v>0</v>
      </c>
      <c r="W358" s="504">
        <f t="shared" si="26"/>
        <v>0</v>
      </c>
      <c r="X358" s="504">
        <f t="shared" si="26"/>
        <v>0</v>
      </c>
      <c r="Y358" s="503"/>
    </row>
    <row r="359" spans="3:25" ht="21" x14ac:dyDescent="0.5">
      <c r="C359" s="505" t="s">
        <v>699</v>
      </c>
      <c r="D359" s="506" t="str">
        <f>VLOOKUP(C354,overview_of_services!$B$2:$I$123,5,FALSE)</f>
        <v>simple feed-in</v>
      </c>
      <c r="E359" s="499">
        <v>0</v>
      </c>
      <c r="F359" s="499" t="s">
        <v>700</v>
      </c>
      <c r="G359" s="499">
        <v>0</v>
      </c>
      <c r="H359" s="499">
        <v>0</v>
      </c>
      <c r="I359" s="499">
        <v>0</v>
      </c>
      <c r="J359" s="499">
        <v>0</v>
      </c>
      <c r="K359" s="499">
        <v>0</v>
      </c>
      <c r="L359" s="530">
        <v>0</v>
      </c>
      <c r="M359" s="530" t="s">
        <v>700</v>
      </c>
      <c r="N359" s="531" t="s">
        <v>791</v>
      </c>
      <c r="O359" s="532" t="s">
        <v>721</v>
      </c>
      <c r="P359" s="504"/>
      <c r="Q359" s="503"/>
      <c r="R359" s="504">
        <f t="shared" si="26"/>
        <v>0</v>
      </c>
      <c r="S359" s="504">
        <f t="shared" si="26"/>
        <v>1</v>
      </c>
      <c r="T359" s="504">
        <f t="shared" si="26"/>
        <v>0</v>
      </c>
      <c r="U359" s="504">
        <f t="shared" si="26"/>
        <v>0</v>
      </c>
      <c r="V359" s="504">
        <f t="shared" si="26"/>
        <v>0</v>
      </c>
      <c r="W359" s="504">
        <f t="shared" si="26"/>
        <v>0</v>
      </c>
      <c r="X359" s="504">
        <f t="shared" si="26"/>
        <v>0</v>
      </c>
      <c r="Y359" s="503"/>
    </row>
    <row r="360" spans="3:25" ht="21" x14ac:dyDescent="0.5">
      <c r="C360" s="505" t="s">
        <v>703</v>
      </c>
      <c r="D360" s="506" t="str">
        <f>VLOOKUP(C354,overview_of_services!$B$2:$I$123,6,FALSE)</f>
        <v>CLS interface</v>
      </c>
      <c r="E360" s="499">
        <v>0</v>
      </c>
      <c r="F360" s="499" t="s">
        <v>704</v>
      </c>
      <c r="G360" s="499">
        <v>0</v>
      </c>
      <c r="H360" s="499">
        <v>0</v>
      </c>
      <c r="I360" s="499">
        <v>0</v>
      </c>
      <c r="J360" s="499">
        <v>0</v>
      </c>
      <c r="K360" s="499">
        <v>0</v>
      </c>
      <c r="L360" s="530">
        <v>0</v>
      </c>
      <c r="M360" s="530" t="s">
        <v>700</v>
      </c>
      <c r="N360" s="531" t="s">
        <v>791</v>
      </c>
      <c r="O360" s="532" t="s">
        <v>721</v>
      </c>
      <c r="P360" s="504"/>
      <c r="Q360" s="503"/>
      <c r="R360" s="504">
        <f t="shared" si="26"/>
        <v>0</v>
      </c>
      <c r="S360" s="504">
        <f t="shared" si="26"/>
        <v>2</v>
      </c>
      <c r="T360" s="504">
        <f t="shared" si="26"/>
        <v>0</v>
      </c>
      <c r="U360" s="504">
        <f t="shared" si="26"/>
        <v>0</v>
      </c>
      <c r="V360" s="504">
        <f t="shared" si="26"/>
        <v>0</v>
      </c>
      <c r="W360" s="504">
        <f t="shared" si="26"/>
        <v>0</v>
      </c>
      <c r="X360" s="504">
        <f t="shared" si="26"/>
        <v>0</v>
      </c>
      <c r="Y360" s="503"/>
    </row>
    <row r="361" spans="3:25" ht="21" x14ac:dyDescent="0.5">
      <c r="C361" s="505" t="s">
        <v>706</v>
      </c>
      <c r="D361" s="506" t="str">
        <f>VLOOKUP(C354,overview_of_services!$B$2:$I$123,7,FALSE)</f>
        <v>DSO controls</v>
      </c>
      <c r="E361" s="499">
        <v>0</v>
      </c>
      <c r="F361" s="499" t="s">
        <v>707</v>
      </c>
      <c r="G361" s="499">
        <v>0</v>
      </c>
      <c r="H361" s="499">
        <v>0</v>
      </c>
      <c r="I361" s="499">
        <v>0</v>
      </c>
      <c r="J361" s="499">
        <v>0</v>
      </c>
      <c r="K361" s="499">
        <v>0</v>
      </c>
      <c r="L361" s="500" t="s">
        <v>721</v>
      </c>
      <c r="M361" s="500" t="s">
        <v>721</v>
      </c>
      <c r="N361" s="501" t="s">
        <v>721</v>
      </c>
      <c r="O361" s="529" t="s">
        <v>721</v>
      </c>
      <c r="P361" s="504"/>
      <c r="Q361" s="503"/>
      <c r="R361" s="504">
        <f t="shared" si="26"/>
        <v>0</v>
      </c>
      <c r="S361" s="504">
        <f t="shared" si="26"/>
        <v>3</v>
      </c>
      <c r="T361" s="504">
        <f t="shared" si="26"/>
        <v>0</v>
      </c>
      <c r="U361" s="504">
        <f t="shared" si="26"/>
        <v>0</v>
      </c>
      <c r="V361" s="504">
        <f t="shared" si="26"/>
        <v>0</v>
      </c>
      <c r="W361" s="504">
        <f t="shared" si="26"/>
        <v>0</v>
      </c>
      <c r="X361" s="504">
        <f t="shared" si="26"/>
        <v>0</v>
      </c>
      <c r="Y361" s="503"/>
    </row>
    <row r="362" spans="3:25" ht="21" x14ac:dyDescent="0.5">
      <c r="C362" s="505" t="s">
        <v>710</v>
      </c>
      <c r="D362" s="506">
        <f>VLOOKUP(C354,overview_of_services!$B$2:$I$123,8,FALSE)</f>
        <v>0</v>
      </c>
      <c r="E362" s="507"/>
      <c r="F362" s="499"/>
      <c r="G362" s="507"/>
      <c r="H362" s="507"/>
      <c r="I362" s="499"/>
      <c r="J362" s="499"/>
      <c r="K362" s="499"/>
      <c r="L362" s="500" t="s">
        <v>721</v>
      </c>
      <c r="M362" s="500" t="s">
        <v>721</v>
      </c>
      <c r="N362" s="501" t="s">
        <v>721</v>
      </c>
      <c r="O362" s="529" t="s">
        <v>721</v>
      </c>
      <c r="P362" s="504"/>
      <c r="Q362" s="503"/>
      <c r="R362" s="504">
        <f t="shared" si="26"/>
        <v>0</v>
      </c>
      <c r="S362" s="504">
        <f t="shared" si="26"/>
        <v>0</v>
      </c>
      <c r="T362" s="504">
        <f t="shared" si="26"/>
        <v>0</v>
      </c>
      <c r="U362" s="504">
        <f t="shared" si="26"/>
        <v>0</v>
      </c>
      <c r="V362" s="504">
        <f t="shared" si="26"/>
        <v>0</v>
      </c>
      <c r="W362" s="504">
        <f t="shared" si="26"/>
        <v>0</v>
      </c>
      <c r="X362" s="504">
        <f t="shared" si="26"/>
        <v>0</v>
      </c>
      <c r="Y362" s="503"/>
    </row>
    <row r="363" spans="3:25" ht="15" thickBot="1" x14ac:dyDescent="0.4">
      <c r="C363" s="504"/>
      <c r="D363" s="504"/>
      <c r="E363" s="508"/>
      <c r="F363" s="508"/>
      <c r="G363" s="508"/>
      <c r="H363" s="508"/>
      <c r="I363" s="508"/>
      <c r="J363" s="508"/>
      <c r="K363" s="508"/>
      <c r="L363" s="504"/>
      <c r="M363" s="504"/>
      <c r="N363" s="504"/>
      <c r="O363" s="504"/>
      <c r="P363" s="504"/>
      <c r="Q363" s="503"/>
      <c r="R363" s="503"/>
      <c r="S363" s="503"/>
      <c r="T363" s="503"/>
      <c r="U363" s="503"/>
      <c r="V363" s="503"/>
      <c r="W363" s="503"/>
      <c r="X363" s="503"/>
      <c r="Y363" s="503"/>
    </row>
    <row r="364" spans="3:25" ht="15" thickBot="1" x14ac:dyDescent="0.4">
      <c r="C364" s="509"/>
      <c r="D364" s="509" t="s">
        <v>712</v>
      </c>
      <c r="E364" s="511" t="s">
        <v>729</v>
      </c>
      <c r="F364" s="511" t="s">
        <v>729</v>
      </c>
      <c r="G364" s="511" t="s">
        <v>729</v>
      </c>
      <c r="H364" s="511" t="s">
        <v>729</v>
      </c>
      <c r="I364" s="511" t="s">
        <v>729</v>
      </c>
      <c r="J364" s="511" t="s">
        <v>729</v>
      </c>
      <c r="K364" s="511" t="s">
        <v>729</v>
      </c>
      <c r="L364" s="511" t="s">
        <v>729</v>
      </c>
      <c r="M364" s="511" t="s">
        <v>729</v>
      </c>
      <c r="N364" s="511" t="s">
        <v>729</v>
      </c>
      <c r="O364" s="513"/>
      <c r="P364" s="504"/>
      <c r="Q364" s="503"/>
      <c r="R364" s="503"/>
      <c r="S364" s="503"/>
      <c r="T364" s="503"/>
      <c r="U364" s="503"/>
      <c r="V364" s="503"/>
      <c r="W364" s="503"/>
      <c r="X364" s="503"/>
      <c r="Y364" s="503"/>
    </row>
    <row r="365" spans="3:25" ht="15" thickBot="1" x14ac:dyDescent="0.4">
      <c r="C365" s="509"/>
      <c r="D365" s="509" t="s">
        <v>714</v>
      </c>
      <c r="E365" s="510"/>
      <c r="F365" s="512"/>
      <c r="G365" s="511"/>
      <c r="H365" s="511"/>
      <c r="I365" s="511"/>
      <c r="J365" s="511"/>
      <c r="K365" s="511"/>
      <c r="L365" s="517"/>
      <c r="M365" s="518"/>
      <c r="N365" s="513"/>
      <c r="O365" s="513"/>
    </row>
    <row r="366" spans="3:25" ht="15" thickBot="1" x14ac:dyDescent="0.4"/>
    <row r="367" spans="3:25" ht="15" thickBot="1" x14ac:dyDescent="0.4">
      <c r="C367" s="483" t="s">
        <v>677</v>
      </c>
      <c r="D367" s="484" t="s">
        <v>678</v>
      </c>
      <c r="E367" s="481"/>
      <c r="F367" s="481"/>
      <c r="G367" s="482"/>
      <c r="H367" s="482"/>
      <c r="I367" s="482"/>
      <c r="J367" s="482"/>
      <c r="K367" s="482"/>
      <c r="L367" s="482"/>
      <c r="M367" s="482"/>
      <c r="N367" s="482"/>
      <c r="O367" s="481"/>
    </row>
    <row r="368" spans="3:25" ht="16" thickBot="1" x14ac:dyDescent="0.4">
      <c r="C368" s="487" t="s">
        <v>591</v>
      </c>
      <c r="D368" s="514" t="str">
        <f>VLOOKUP(C368,overview_of_services!$B$2:$I$123,3,FALSE)</f>
        <v>Reporting information regarding DSM</v>
      </c>
      <c r="E368" s="489"/>
      <c r="F368" s="490" t="s">
        <v>680</v>
      </c>
      <c r="G368" s="578" t="str">
        <f>VLOOKUP(C368,overview_of_services!$B$2:$I$123,2,FALSE)</f>
        <v xml:space="preserve">Feedback - Reporting information </v>
      </c>
      <c r="H368" s="578"/>
      <c r="I368" s="490"/>
      <c r="J368" s="491"/>
      <c r="K368" s="491"/>
      <c r="L368" s="491"/>
      <c r="M368" s="491"/>
      <c r="N368" s="491"/>
      <c r="O368" s="492"/>
      <c r="P368" s="492"/>
      <c r="Q368" s="492"/>
      <c r="R368" s="492" t="s">
        <v>681</v>
      </c>
      <c r="S368" s="492">
        <f>ROW()</f>
        <v>368</v>
      </c>
      <c r="T368" s="492"/>
      <c r="U368" s="492"/>
      <c r="V368" s="492"/>
      <c r="W368" s="492"/>
      <c r="X368" s="492"/>
      <c r="Y368" s="492"/>
    </row>
    <row r="369" spans="3:25" x14ac:dyDescent="0.35">
      <c r="C369" s="493"/>
      <c r="D369" s="493"/>
      <c r="E369" s="493"/>
      <c r="F369" s="493"/>
      <c r="G369" s="493"/>
      <c r="H369" s="493"/>
      <c r="I369" s="493"/>
      <c r="J369" s="493"/>
      <c r="K369" s="493"/>
      <c r="L369" s="493"/>
      <c r="M369" s="493"/>
      <c r="N369" s="493"/>
      <c r="O369" s="493"/>
      <c r="P369" s="481"/>
    </row>
    <row r="370" spans="3:25" x14ac:dyDescent="0.35">
      <c r="C370" s="575" t="s">
        <v>682</v>
      </c>
      <c r="D370" s="575"/>
      <c r="E370" s="577" t="s">
        <v>683</v>
      </c>
      <c r="F370" s="577"/>
      <c r="G370" s="577"/>
      <c r="H370" s="577"/>
      <c r="I370" s="577"/>
      <c r="J370" s="577"/>
      <c r="K370" s="577"/>
      <c r="L370" s="573" t="s">
        <v>684</v>
      </c>
      <c r="M370" s="574"/>
      <c r="N370" s="569" t="s">
        <v>685</v>
      </c>
      <c r="O370" s="571" t="s">
        <v>686</v>
      </c>
      <c r="P370" s="481"/>
    </row>
    <row r="371" spans="3:25" ht="29.5" thickBot="1" x14ac:dyDescent="0.4">
      <c r="C371" s="576"/>
      <c r="D371" s="576"/>
      <c r="E371" s="495" t="s">
        <v>687</v>
      </c>
      <c r="F371" s="495" t="s">
        <v>688</v>
      </c>
      <c r="G371" s="495" t="s">
        <v>689</v>
      </c>
      <c r="H371" s="495" t="s">
        <v>690</v>
      </c>
      <c r="I371" s="495" t="s">
        <v>616</v>
      </c>
      <c r="J371" s="495" t="s">
        <v>691</v>
      </c>
      <c r="K371" s="495" t="s">
        <v>692</v>
      </c>
      <c r="L371" s="496" t="s">
        <v>693</v>
      </c>
      <c r="M371" s="496" t="s">
        <v>694</v>
      </c>
      <c r="N371" s="570"/>
      <c r="O371" s="572"/>
      <c r="P371" s="481"/>
    </row>
    <row r="372" spans="3:25" ht="21.5" thickTop="1" x14ac:dyDescent="0.5">
      <c r="C372" s="497" t="s">
        <v>695</v>
      </c>
      <c r="D372" s="498" t="str">
        <f>VLOOKUP(C368,overview_of_services!$B$2:$I$123,4,FALSE)</f>
        <v>None</v>
      </c>
      <c r="E372" s="499">
        <v>0</v>
      </c>
      <c r="F372" s="499">
        <v>0</v>
      </c>
      <c r="G372" s="499">
        <v>0</v>
      </c>
      <c r="H372" s="499">
        <v>0</v>
      </c>
      <c r="I372" s="499">
        <v>0</v>
      </c>
      <c r="J372" s="499">
        <v>0</v>
      </c>
      <c r="K372" s="499">
        <v>0</v>
      </c>
      <c r="L372" s="530" t="s">
        <v>696</v>
      </c>
      <c r="M372" s="530" t="s">
        <v>696</v>
      </c>
      <c r="N372" s="531">
        <v>0</v>
      </c>
      <c r="O372" s="532" t="s">
        <v>721</v>
      </c>
      <c r="P372" s="504"/>
      <c r="Q372" s="503"/>
      <c r="R372" s="504">
        <f t="shared" ref="R372:X376" si="27">IF(E372=0,0,(IF(E372="+",1,(IF(E372="++",2,(IF(E372="+++",3,(IF(E372="++++",4,(IF(E372="-",-1,(IF(E372="--",-2,(IF(E372="---",-3,(IF(E372="----",-4,"NA")))))))))))))))))</f>
        <v>0</v>
      </c>
      <c r="S372" s="504">
        <f t="shared" si="27"/>
        <v>0</v>
      </c>
      <c r="T372" s="504">
        <f t="shared" si="27"/>
        <v>0</v>
      </c>
      <c r="U372" s="504">
        <f t="shared" si="27"/>
        <v>0</v>
      </c>
      <c r="V372" s="504">
        <f t="shared" si="27"/>
        <v>0</v>
      </c>
      <c r="W372" s="504">
        <f t="shared" si="27"/>
        <v>0</v>
      </c>
      <c r="X372" s="504">
        <f t="shared" si="27"/>
        <v>0</v>
      </c>
      <c r="Y372" s="503"/>
    </row>
    <row r="373" spans="3:25" ht="21" x14ac:dyDescent="0.5">
      <c r="C373" s="505" t="s">
        <v>699</v>
      </c>
      <c r="D373" s="506" t="str">
        <f>VLOOKUP(C368,overview_of_services!$B$2:$I$123,5,FALSE)</f>
        <v>Reporting information on current DSM flows and controls</v>
      </c>
      <c r="E373" s="499">
        <v>0</v>
      </c>
      <c r="F373" s="499" t="s">
        <v>700</v>
      </c>
      <c r="G373" s="499">
        <v>0</v>
      </c>
      <c r="H373" s="499">
        <v>0</v>
      </c>
      <c r="I373" s="499">
        <v>0</v>
      </c>
      <c r="J373" s="499">
        <v>0</v>
      </c>
      <c r="K373" s="499" t="s">
        <v>704</v>
      </c>
      <c r="L373" s="530">
        <v>0</v>
      </c>
      <c r="M373" s="530" t="s">
        <v>700</v>
      </c>
      <c r="N373" s="531" t="s">
        <v>791</v>
      </c>
      <c r="O373" s="532" t="s">
        <v>721</v>
      </c>
      <c r="P373" s="504"/>
      <c r="Q373" s="503"/>
      <c r="R373" s="504">
        <f t="shared" si="27"/>
        <v>0</v>
      </c>
      <c r="S373" s="504">
        <f t="shared" si="27"/>
        <v>1</v>
      </c>
      <c r="T373" s="504">
        <f t="shared" si="27"/>
        <v>0</v>
      </c>
      <c r="U373" s="504">
        <f t="shared" si="27"/>
        <v>0</v>
      </c>
      <c r="V373" s="504">
        <f t="shared" si="27"/>
        <v>0</v>
      </c>
      <c r="W373" s="504">
        <f t="shared" si="27"/>
        <v>0</v>
      </c>
      <c r="X373" s="504">
        <f t="shared" si="27"/>
        <v>2</v>
      </c>
      <c r="Y373" s="503"/>
    </row>
    <row r="374" spans="3:25" ht="29" x14ac:dyDescent="0.5">
      <c r="C374" s="505" t="s">
        <v>703</v>
      </c>
      <c r="D374" s="506" t="str">
        <f>VLOOKUP(C368,overview_of_services!$B$2:$I$123,6,FALSE)</f>
        <v>Reporting information on current, historical and predicted DSM  flows and controls</v>
      </c>
      <c r="E374" s="499">
        <v>0</v>
      </c>
      <c r="F374" s="499" t="s">
        <v>700</v>
      </c>
      <c r="G374" s="499">
        <v>0</v>
      </c>
      <c r="H374" s="499">
        <v>0</v>
      </c>
      <c r="I374" s="499">
        <v>0</v>
      </c>
      <c r="J374" s="499" t="s">
        <v>700</v>
      </c>
      <c r="K374" s="499" t="s">
        <v>707</v>
      </c>
      <c r="L374" s="530">
        <v>0</v>
      </c>
      <c r="M374" s="530" t="s">
        <v>700</v>
      </c>
      <c r="N374" s="531" t="s">
        <v>791</v>
      </c>
      <c r="O374" s="532" t="s">
        <v>721</v>
      </c>
      <c r="P374" s="504"/>
      <c r="Q374" s="503"/>
      <c r="R374" s="504">
        <f t="shared" si="27"/>
        <v>0</v>
      </c>
      <c r="S374" s="504">
        <f t="shared" si="27"/>
        <v>1</v>
      </c>
      <c r="T374" s="504">
        <f t="shared" si="27"/>
        <v>0</v>
      </c>
      <c r="U374" s="504">
        <f t="shared" si="27"/>
        <v>0</v>
      </c>
      <c r="V374" s="504">
        <f t="shared" si="27"/>
        <v>0</v>
      </c>
      <c r="W374" s="504">
        <f t="shared" si="27"/>
        <v>1</v>
      </c>
      <c r="X374" s="504">
        <f t="shared" si="27"/>
        <v>3</v>
      </c>
      <c r="Y374" s="503"/>
    </row>
    <row r="375" spans="3:25" ht="21" x14ac:dyDescent="0.5">
      <c r="C375" s="505" t="s">
        <v>706</v>
      </c>
      <c r="D375" s="506">
        <f>VLOOKUP(C368,overview_of_services!$B$2:$I$123,7,FALSE)</f>
        <v>0</v>
      </c>
      <c r="E375" s="499"/>
      <c r="F375" s="499"/>
      <c r="G375" s="499"/>
      <c r="H375" s="499"/>
      <c r="I375" s="499"/>
      <c r="J375" s="499"/>
      <c r="K375" s="499"/>
      <c r="L375" s="500" t="s">
        <v>721</v>
      </c>
      <c r="M375" s="500" t="s">
        <v>721</v>
      </c>
      <c r="N375" s="501" t="s">
        <v>721</v>
      </c>
      <c r="O375" s="529" t="s">
        <v>721</v>
      </c>
      <c r="P375" s="504"/>
      <c r="Q375" s="503"/>
      <c r="R375" s="504">
        <f t="shared" si="27"/>
        <v>0</v>
      </c>
      <c r="S375" s="504">
        <f t="shared" si="27"/>
        <v>0</v>
      </c>
      <c r="T375" s="504">
        <f t="shared" si="27"/>
        <v>0</v>
      </c>
      <c r="U375" s="504">
        <f t="shared" si="27"/>
        <v>0</v>
      </c>
      <c r="V375" s="504">
        <f t="shared" si="27"/>
        <v>0</v>
      </c>
      <c r="W375" s="504">
        <f t="shared" si="27"/>
        <v>0</v>
      </c>
      <c r="X375" s="504">
        <f t="shared" si="27"/>
        <v>0</v>
      </c>
      <c r="Y375" s="503"/>
    </row>
    <row r="376" spans="3:25" ht="21" x14ac:dyDescent="0.5">
      <c r="C376" s="505" t="s">
        <v>710</v>
      </c>
      <c r="D376" s="506">
        <f>VLOOKUP(C368,overview_of_services!$B$2:$I$123,8,FALSE)</f>
        <v>0</v>
      </c>
      <c r="E376" s="507"/>
      <c r="F376" s="499"/>
      <c r="G376" s="507"/>
      <c r="H376" s="507"/>
      <c r="I376" s="499"/>
      <c r="J376" s="499"/>
      <c r="K376" s="499"/>
      <c r="L376" s="500" t="s">
        <v>721</v>
      </c>
      <c r="M376" s="500" t="s">
        <v>721</v>
      </c>
      <c r="N376" s="501" t="s">
        <v>721</v>
      </c>
      <c r="O376" s="529" t="s">
        <v>721</v>
      </c>
      <c r="P376" s="504"/>
      <c r="Q376" s="503"/>
      <c r="R376" s="504">
        <f t="shared" si="27"/>
        <v>0</v>
      </c>
      <c r="S376" s="504">
        <f t="shared" si="27"/>
        <v>0</v>
      </c>
      <c r="T376" s="504">
        <f t="shared" si="27"/>
        <v>0</v>
      </c>
      <c r="U376" s="504">
        <f t="shared" si="27"/>
        <v>0</v>
      </c>
      <c r="V376" s="504">
        <f t="shared" si="27"/>
        <v>0</v>
      </c>
      <c r="W376" s="504">
        <f t="shared" si="27"/>
        <v>0</v>
      </c>
      <c r="X376" s="504">
        <f t="shared" si="27"/>
        <v>0</v>
      </c>
      <c r="Y376" s="503"/>
    </row>
    <row r="377" spans="3:25" ht="15" thickBot="1" x14ac:dyDescent="0.4">
      <c r="C377" s="504"/>
      <c r="D377" s="504"/>
      <c r="E377" s="508"/>
      <c r="F377" s="508"/>
      <c r="G377" s="508"/>
      <c r="H377" s="508"/>
      <c r="I377" s="508"/>
      <c r="J377" s="508"/>
      <c r="K377" s="508"/>
      <c r="L377" s="504"/>
      <c r="M377" s="504"/>
      <c r="N377" s="504"/>
      <c r="O377" s="504"/>
      <c r="P377" s="504"/>
      <c r="Q377" s="503"/>
      <c r="R377" s="503"/>
      <c r="S377" s="503"/>
      <c r="T377" s="503"/>
      <c r="U377" s="503"/>
      <c r="V377" s="503"/>
      <c r="W377" s="503"/>
      <c r="X377" s="503"/>
      <c r="Y377" s="503"/>
    </row>
    <row r="378" spans="3:25" ht="15" thickBot="1" x14ac:dyDescent="0.4">
      <c r="C378" s="509"/>
      <c r="D378" s="509" t="s">
        <v>712</v>
      </c>
      <c r="E378" s="511" t="s">
        <v>729</v>
      </c>
      <c r="F378" s="511" t="s">
        <v>729</v>
      </c>
      <c r="G378" s="511" t="s">
        <v>729</v>
      </c>
      <c r="H378" s="511" t="s">
        <v>729</v>
      </c>
      <c r="I378" s="511" t="s">
        <v>729</v>
      </c>
      <c r="J378" s="511" t="s">
        <v>729</v>
      </c>
      <c r="K378" s="511" t="s">
        <v>729</v>
      </c>
      <c r="L378" s="511" t="s">
        <v>729</v>
      </c>
      <c r="M378" s="511" t="s">
        <v>729</v>
      </c>
      <c r="N378" s="511" t="s">
        <v>729</v>
      </c>
      <c r="O378" s="513"/>
      <c r="P378" s="504"/>
      <c r="Q378" s="503"/>
      <c r="R378" s="503"/>
      <c r="S378" s="503"/>
      <c r="T378" s="503"/>
      <c r="U378" s="503"/>
      <c r="V378" s="503"/>
      <c r="W378" s="503"/>
      <c r="X378" s="503"/>
      <c r="Y378" s="503"/>
    </row>
    <row r="379" spans="3:25" ht="15" thickBot="1" x14ac:dyDescent="0.4">
      <c r="C379" s="509"/>
      <c r="D379" s="509" t="s">
        <v>714</v>
      </c>
      <c r="E379" s="510"/>
      <c r="F379" s="512"/>
      <c r="G379" s="511"/>
      <c r="H379" s="511"/>
      <c r="I379" s="511"/>
      <c r="J379" s="511"/>
      <c r="K379" s="511"/>
      <c r="L379" s="517"/>
      <c r="M379" s="518"/>
      <c r="N379" s="513"/>
      <c r="O379" s="513"/>
    </row>
    <row r="380" spans="3:25" ht="15" thickBot="1" x14ac:dyDescent="0.4"/>
    <row r="381" spans="3:25" ht="15" thickBot="1" x14ac:dyDescent="0.4">
      <c r="C381" s="483" t="s">
        <v>677</v>
      </c>
      <c r="D381" s="484" t="s">
        <v>678</v>
      </c>
      <c r="E381" s="481"/>
      <c r="F381" s="481"/>
      <c r="G381" s="482"/>
      <c r="H381" s="482"/>
      <c r="I381" s="482"/>
      <c r="J381" s="482"/>
      <c r="K381" s="482"/>
      <c r="L381" s="482"/>
      <c r="M381" s="482"/>
      <c r="N381" s="482"/>
      <c r="O381" s="481"/>
    </row>
    <row r="382" spans="3:25" ht="16" thickBot="1" x14ac:dyDescent="0.4">
      <c r="C382" s="487" t="s">
        <v>595</v>
      </c>
      <c r="D382" s="514" t="str">
        <f>VLOOKUP(C382,overview_of_services!$B$2:$I$123,3,FALSE)</f>
        <v>Override of DSM control</v>
      </c>
      <c r="E382" s="489"/>
      <c r="F382" s="490" t="s">
        <v>680</v>
      </c>
      <c r="G382" s="578" t="str">
        <f>VLOOKUP(C382,overview_of_services!$B$2:$I$123,2,FALSE)</f>
        <v>Override control</v>
      </c>
      <c r="H382" s="578"/>
      <c r="I382" s="490"/>
      <c r="J382" s="491"/>
      <c r="K382" s="491"/>
      <c r="L382" s="491"/>
      <c r="M382" s="491"/>
      <c r="N382" s="491"/>
      <c r="O382" s="492"/>
      <c r="P382" s="492"/>
      <c r="Q382" s="492"/>
      <c r="R382" s="492" t="s">
        <v>681</v>
      </c>
      <c r="S382" s="492">
        <f>ROW()</f>
        <v>382</v>
      </c>
      <c r="T382" s="492"/>
      <c r="U382" s="492"/>
      <c r="V382" s="492"/>
      <c r="W382" s="492"/>
      <c r="X382" s="492"/>
      <c r="Y382" s="492"/>
    </row>
    <row r="383" spans="3:25" x14ac:dyDescent="0.35">
      <c r="C383" s="493"/>
      <c r="D383" s="493"/>
      <c r="E383" s="493"/>
      <c r="F383" s="493"/>
      <c r="G383" s="493"/>
      <c r="H383" s="493"/>
      <c r="I383" s="493"/>
      <c r="J383" s="493"/>
      <c r="K383" s="493"/>
      <c r="L383" s="493"/>
      <c r="M383" s="493"/>
      <c r="N383" s="493"/>
      <c r="O383" s="493"/>
      <c r="P383" s="481"/>
    </row>
    <row r="384" spans="3:25" x14ac:dyDescent="0.35">
      <c r="C384" s="575" t="s">
        <v>682</v>
      </c>
      <c r="D384" s="575"/>
      <c r="E384" s="577" t="s">
        <v>683</v>
      </c>
      <c r="F384" s="577"/>
      <c r="G384" s="577"/>
      <c r="H384" s="577"/>
      <c r="I384" s="577"/>
      <c r="J384" s="577"/>
      <c r="K384" s="577"/>
      <c r="L384" s="573" t="s">
        <v>684</v>
      </c>
      <c r="M384" s="574"/>
      <c r="N384" s="569" t="s">
        <v>685</v>
      </c>
      <c r="O384" s="571" t="s">
        <v>686</v>
      </c>
      <c r="P384" s="481"/>
    </row>
    <row r="385" spans="3:25" ht="29.5" thickBot="1" x14ac:dyDescent="0.4">
      <c r="C385" s="576"/>
      <c r="D385" s="576"/>
      <c r="E385" s="495" t="s">
        <v>687</v>
      </c>
      <c r="F385" s="495" t="s">
        <v>688</v>
      </c>
      <c r="G385" s="495" t="s">
        <v>689</v>
      </c>
      <c r="H385" s="495" t="s">
        <v>690</v>
      </c>
      <c r="I385" s="495" t="s">
        <v>616</v>
      </c>
      <c r="J385" s="495" t="s">
        <v>691</v>
      </c>
      <c r="K385" s="495" t="s">
        <v>692</v>
      </c>
      <c r="L385" s="496" t="s">
        <v>693</v>
      </c>
      <c r="M385" s="496" t="s">
        <v>694</v>
      </c>
      <c r="N385" s="570"/>
      <c r="O385" s="572"/>
      <c r="P385" s="481"/>
    </row>
    <row r="386" spans="3:25" ht="21.5" thickTop="1" x14ac:dyDescent="0.5">
      <c r="C386" s="497" t="s">
        <v>695</v>
      </c>
      <c r="D386" s="498" t="str">
        <f>VLOOKUP(C382,overview_of_services!$B$2:$I$123,4,FALSE)</f>
        <v>No DSM control</v>
      </c>
      <c r="E386" s="499">
        <v>0</v>
      </c>
      <c r="F386" s="499">
        <v>0</v>
      </c>
      <c r="G386" s="499">
        <v>0</v>
      </c>
      <c r="H386" s="499">
        <v>0</v>
      </c>
      <c r="I386" s="499">
        <v>0</v>
      </c>
      <c r="J386" s="499">
        <v>0</v>
      </c>
      <c r="K386" s="499">
        <v>0</v>
      </c>
      <c r="L386" s="530" t="s">
        <v>696</v>
      </c>
      <c r="M386" s="530" t="s">
        <v>696</v>
      </c>
      <c r="N386" s="531">
        <v>0</v>
      </c>
      <c r="O386" s="532" t="s">
        <v>721</v>
      </c>
      <c r="P386" s="504"/>
      <c r="Q386" s="503"/>
      <c r="R386" s="504">
        <f t="shared" ref="R386:X390" si="28">IF(E386=0,0,(IF(E386="+",1,(IF(E386="++",2,(IF(E386="+++",3,(IF(E386="++++",4,(IF(E386="-",-1,(IF(E386="--",-2,(IF(E386="---",-3,(IF(E386="----",-4,"NA")))))))))))))))))</f>
        <v>0</v>
      </c>
      <c r="S386" s="504">
        <f t="shared" si="28"/>
        <v>0</v>
      </c>
      <c r="T386" s="504">
        <f t="shared" si="28"/>
        <v>0</v>
      </c>
      <c r="U386" s="504">
        <f t="shared" si="28"/>
        <v>0</v>
      </c>
      <c r="V386" s="504">
        <f t="shared" si="28"/>
        <v>0</v>
      </c>
      <c r="W386" s="504">
        <f t="shared" si="28"/>
        <v>0</v>
      </c>
      <c r="X386" s="504">
        <f t="shared" si="28"/>
        <v>0</v>
      </c>
      <c r="Y386" s="503"/>
    </row>
    <row r="387" spans="3:25" ht="29" x14ac:dyDescent="0.5">
      <c r="C387" s="505" t="s">
        <v>699</v>
      </c>
      <c r="D387" s="506" t="str">
        <f>VLOOKUP(C382,overview_of_services!$B$2:$I$123,5,FALSE)</f>
        <v xml:space="preserve">DSM control without the possibility to override this control by the occupant </v>
      </c>
      <c r="E387" s="499">
        <v>0</v>
      </c>
      <c r="F387" s="499" t="s">
        <v>704</v>
      </c>
      <c r="G387" s="499" t="s">
        <v>797</v>
      </c>
      <c r="H387" s="499">
        <v>0</v>
      </c>
      <c r="I387" s="499">
        <v>0</v>
      </c>
      <c r="J387" s="499">
        <v>0</v>
      </c>
      <c r="K387" s="499" t="s">
        <v>797</v>
      </c>
      <c r="L387" s="530">
        <v>0</v>
      </c>
      <c r="M387" s="530" t="s">
        <v>700</v>
      </c>
      <c r="N387" s="531" t="s">
        <v>791</v>
      </c>
      <c r="O387" s="532" t="s">
        <v>721</v>
      </c>
      <c r="P387" s="504"/>
      <c r="Q387" s="503"/>
      <c r="R387" s="504">
        <f t="shared" si="28"/>
        <v>0</v>
      </c>
      <c r="S387" s="504">
        <f t="shared" si="28"/>
        <v>2</v>
      </c>
      <c r="T387" s="504">
        <f t="shared" si="28"/>
        <v>-2</v>
      </c>
      <c r="U387" s="504">
        <f t="shared" si="28"/>
        <v>0</v>
      </c>
      <c r="V387" s="504">
        <f t="shared" si="28"/>
        <v>0</v>
      </c>
      <c r="W387" s="504">
        <f t="shared" si="28"/>
        <v>0</v>
      </c>
      <c r="X387" s="504">
        <f t="shared" si="28"/>
        <v>-2</v>
      </c>
      <c r="Y387" s="503"/>
    </row>
    <row r="388" spans="3:25" ht="21" x14ac:dyDescent="0.5">
      <c r="C388" s="505" t="s">
        <v>703</v>
      </c>
      <c r="D388" s="506" t="str">
        <f>VLOOKUP(C382,overview_of_services!$B$2:$I$123,6,FALSE)</f>
        <v>Manual override and reactivation</v>
      </c>
      <c r="E388" s="499">
        <v>0</v>
      </c>
      <c r="F388" s="499" t="s">
        <v>697</v>
      </c>
      <c r="G388" s="499">
        <v>0</v>
      </c>
      <c r="H388" s="499" t="s">
        <v>700</v>
      </c>
      <c r="I388" s="499">
        <v>0</v>
      </c>
      <c r="J388" s="499">
        <v>0</v>
      </c>
      <c r="K388" s="499">
        <v>0</v>
      </c>
      <c r="L388" s="530">
        <v>0</v>
      </c>
      <c r="M388" s="530" t="s">
        <v>700</v>
      </c>
      <c r="N388" s="531" t="s">
        <v>791</v>
      </c>
      <c r="O388" s="532" t="s">
        <v>721</v>
      </c>
      <c r="P388" s="504"/>
      <c r="Q388" s="503"/>
      <c r="R388" s="504">
        <f t="shared" si="28"/>
        <v>0</v>
      </c>
      <c r="S388" s="504">
        <f t="shared" si="28"/>
        <v>-1</v>
      </c>
      <c r="T388" s="504">
        <f t="shared" si="28"/>
        <v>0</v>
      </c>
      <c r="U388" s="504">
        <f t="shared" si="28"/>
        <v>1</v>
      </c>
      <c r="V388" s="504">
        <f t="shared" si="28"/>
        <v>0</v>
      </c>
      <c r="W388" s="504">
        <f t="shared" si="28"/>
        <v>0</v>
      </c>
      <c r="X388" s="504">
        <f t="shared" si="28"/>
        <v>0</v>
      </c>
      <c r="Y388" s="503"/>
    </row>
    <row r="389" spans="3:25" ht="21" x14ac:dyDescent="0.5">
      <c r="C389" s="505" t="s">
        <v>706</v>
      </c>
      <c r="D389" s="506" t="str">
        <f>VLOOKUP(C382,overview_of_services!$B$2:$I$123,7,FALSE)</f>
        <v>Scheduled override of DSM control and reactivation</v>
      </c>
      <c r="E389" s="499">
        <v>0</v>
      </c>
      <c r="F389" s="499" t="s">
        <v>700</v>
      </c>
      <c r="G389" s="499">
        <v>0</v>
      </c>
      <c r="H389" s="499" t="s">
        <v>704</v>
      </c>
      <c r="I389" s="499">
        <v>0</v>
      </c>
      <c r="J389" s="499" t="s">
        <v>700</v>
      </c>
      <c r="K389" s="499" t="s">
        <v>700</v>
      </c>
      <c r="L389" s="500" t="s">
        <v>721</v>
      </c>
      <c r="M389" s="500" t="s">
        <v>721</v>
      </c>
      <c r="N389" s="501" t="s">
        <v>721</v>
      </c>
      <c r="O389" s="529" t="s">
        <v>721</v>
      </c>
      <c r="P389" s="504"/>
      <c r="Q389" s="503"/>
      <c r="R389" s="504">
        <f t="shared" si="28"/>
        <v>0</v>
      </c>
      <c r="S389" s="504">
        <f t="shared" si="28"/>
        <v>1</v>
      </c>
      <c r="T389" s="504">
        <f t="shared" si="28"/>
        <v>0</v>
      </c>
      <c r="U389" s="504">
        <f t="shared" si="28"/>
        <v>2</v>
      </c>
      <c r="V389" s="504">
        <f t="shared" si="28"/>
        <v>0</v>
      </c>
      <c r="W389" s="504">
        <f t="shared" si="28"/>
        <v>1</v>
      </c>
      <c r="X389" s="504">
        <f t="shared" si="28"/>
        <v>1</v>
      </c>
      <c r="Y389" s="503"/>
    </row>
    <row r="390" spans="3:25" ht="29" x14ac:dyDescent="0.5">
      <c r="C390" s="505" t="s">
        <v>710</v>
      </c>
      <c r="D390" s="506" t="str">
        <f>VLOOKUP(C382,overview_of_services!$B$2:$I$123,8,FALSE)</f>
        <v>Scheduled override of DSM control and reactivation with artificial intelligence</v>
      </c>
      <c r="E390" s="499">
        <v>0</v>
      </c>
      <c r="F390" s="499" t="s">
        <v>704</v>
      </c>
      <c r="G390" s="499">
        <v>0</v>
      </c>
      <c r="H390" s="499" t="s">
        <v>707</v>
      </c>
      <c r="I390" s="499">
        <v>0</v>
      </c>
      <c r="J390" s="499" t="s">
        <v>704</v>
      </c>
      <c r="K390" s="499" t="s">
        <v>704</v>
      </c>
      <c r="L390" s="500" t="s">
        <v>721</v>
      </c>
      <c r="M390" s="500" t="s">
        <v>721</v>
      </c>
      <c r="N390" s="501" t="s">
        <v>721</v>
      </c>
      <c r="O390" s="529" t="s">
        <v>721</v>
      </c>
      <c r="P390" s="504"/>
      <c r="Q390" s="503"/>
      <c r="R390" s="504">
        <f t="shared" si="28"/>
        <v>0</v>
      </c>
      <c r="S390" s="504">
        <f t="shared" si="28"/>
        <v>2</v>
      </c>
      <c r="T390" s="504">
        <f t="shared" si="28"/>
        <v>0</v>
      </c>
      <c r="U390" s="504">
        <f t="shared" si="28"/>
        <v>3</v>
      </c>
      <c r="V390" s="504">
        <f t="shared" si="28"/>
        <v>0</v>
      </c>
      <c r="W390" s="504">
        <f t="shared" si="28"/>
        <v>2</v>
      </c>
      <c r="X390" s="504">
        <f t="shared" si="28"/>
        <v>2</v>
      </c>
      <c r="Y390" s="503"/>
    </row>
    <row r="391" spans="3:25" ht="15" thickBot="1" x14ac:dyDescent="0.4">
      <c r="C391" s="504"/>
      <c r="D391" s="504"/>
      <c r="E391" s="508"/>
      <c r="F391" s="508"/>
      <c r="G391" s="508"/>
      <c r="H391" s="508"/>
      <c r="I391" s="508"/>
      <c r="J391" s="508"/>
      <c r="K391" s="508"/>
      <c r="L391" s="504"/>
      <c r="M391" s="504"/>
      <c r="N391" s="504"/>
      <c r="O391" s="504"/>
      <c r="P391" s="504"/>
      <c r="Q391" s="503"/>
      <c r="R391" s="503"/>
      <c r="S391" s="503"/>
      <c r="T391" s="503"/>
      <c r="U391" s="503"/>
      <c r="V391" s="503"/>
      <c r="W391" s="503"/>
      <c r="X391" s="503"/>
      <c r="Y391" s="503"/>
    </row>
    <row r="392" spans="3:25" ht="15" thickBot="1" x14ac:dyDescent="0.4">
      <c r="C392" s="509"/>
      <c r="D392" s="509" t="s">
        <v>712</v>
      </c>
      <c r="E392" s="511" t="s">
        <v>729</v>
      </c>
      <c r="F392" s="511" t="s">
        <v>729</v>
      </c>
      <c r="G392" s="511" t="s">
        <v>729</v>
      </c>
      <c r="H392" s="511" t="s">
        <v>729</v>
      </c>
      <c r="I392" s="511" t="s">
        <v>729</v>
      </c>
      <c r="J392" s="511" t="s">
        <v>729</v>
      </c>
      <c r="K392" s="511" t="s">
        <v>729</v>
      </c>
      <c r="L392" s="511" t="s">
        <v>729</v>
      </c>
      <c r="M392" s="511" t="s">
        <v>729</v>
      </c>
      <c r="N392" s="511" t="s">
        <v>729</v>
      </c>
      <c r="O392" s="513"/>
      <c r="P392" s="504"/>
      <c r="Q392" s="503"/>
      <c r="R392" s="503"/>
      <c r="S392" s="503"/>
      <c r="T392" s="503"/>
      <c r="U392" s="503"/>
      <c r="V392" s="503"/>
      <c r="W392" s="503"/>
      <c r="X392" s="503"/>
      <c r="Y392" s="503"/>
    </row>
    <row r="393" spans="3:25" ht="15" thickBot="1" x14ac:dyDescent="0.4">
      <c r="C393" s="509"/>
      <c r="D393" s="509" t="s">
        <v>714</v>
      </c>
      <c r="E393" s="510"/>
      <c r="F393" s="512"/>
      <c r="G393" s="511"/>
      <c r="H393" s="511"/>
      <c r="I393" s="511"/>
      <c r="J393" s="511"/>
      <c r="K393" s="511"/>
      <c r="L393" s="517"/>
      <c r="M393" s="518"/>
      <c r="N393" s="513"/>
      <c r="O393" s="513"/>
    </row>
  </sheetData>
  <sheetProtection algorithmName="SHA-512" hashValue="KklI+yVaeav1xuQpoBkoLB1a93+AAUMEkbaPmspKCzxBq/vweFkTG+P7QpZMubivvpiQ3HUUamZyk2QJcGpywg==" saltValue="/o6vds/GCGHuOhXjbpofmQ==" spinCount="100000" sheet="1" objects="1" scenarios="1"/>
  <mergeCells count="168">
    <mergeCell ref="G158:H158"/>
    <mergeCell ref="C160:D161"/>
    <mergeCell ref="E160:K160"/>
    <mergeCell ref="L160:M160"/>
    <mergeCell ref="N160:N161"/>
    <mergeCell ref="O160:O161"/>
    <mergeCell ref="G144:H144"/>
    <mergeCell ref="C146:D147"/>
    <mergeCell ref="E146:K146"/>
    <mergeCell ref="L146:M146"/>
    <mergeCell ref="O132:O133"/>
    <mergeCell ref="N132:N133"/>
    <mergeCell ref="C132:D133"/>
    <mergeCell ref="E132:K132"/>
    <mergeCell ref="L132:M132"/>
    <mergeCell ref="N146:N147"/>
    <mergeCell ref="O146:O147"/>
    <mergeCell ref="G102:H102"/>
    <mergeCell ref="O90:O91"/>
    <mergeCell ref="N90:N91"/>
    <mergeCell ref="C90:D91"/>
    <mergeCell ref="E90:K90"/>
    <mergeCell ref="L90:M90"/>
    <mergeCell ref="G130:H130"/>
    <mergeCell ref="O104:O105"/>
    <mergeCell ref="C118:D119"/>
    <mergeCell ref="E118:K118"/>
    <mergeCell ref="L118:M118"/>
    <mergeCell ref="N118:N119"/>
    <mergeCell ref="O118:O119"/>
    <mergeCell ref="N104:N105"/>
    <mergeCell ref="G116:H116"/>
    <mergeCell ref="C104:D105"/>
    <mergeCell ref="E104:K104"/>
    <mergeCell ref="L104:M104"/>
    <mergeCell ref="G88:H88"/>
    <mergeCell ref="O62:O63"/>
    <mergeCell ref="C76:D77"/>
    <mergeCell ref="E76:K76"/>
    <mergeCell ref="L76:M76"/>
    <mergeCell ref="N76:N77"/>
    <mergeCell ref="O76:O77"/>
    <mergeCell ref="N62:N63"/>
    <mergeCell ref="G74:H74"/>
    <mergeCell ref="C62:D63"/>
    <mergeCell ref="E62:K62"/>
    <mergeCell ref="L62:M62"/>
    <mergeCell ref="L6:M6"/>
    <mergeCell ref="G60:H60"/>
    <mergeCell ref="O34:O35"/>
    <mergeCell ref="C48:D49"/>
    <mergeCell ref="E48:K48"/>
    <mergeCell ref="L48:M48"/>
    <mergeCell ref="N48:N49"/>
    <mergeCell ref="O48:O49"/>
    <mergeCell ref="N34:N35"/>
    <mergeCell ref="G46:H46"/>
    <mergeCell ref="C34:D35"/>
    <mergeCell ref="E34:K34"/>
    <mergeCell ref="L34:M34"/>
    <mergeCell ref="N174:N175"/>
    <mergeCell ref="O174:O175"/>
    <mergeCell ref="G186:H186"/>
    <mergeCell ref="C188:D189"/>
    <mergeCell ref="E188:K188"/>
    <mergeCell ref="L188:M188"/>
    <mergeCell ref="N188:N189"/>
    <mergeCell ref="O188:O189"/>
    <mergeCell ref="G4:H4"/>
    <mergeCell ref="G172:H172"/>
    <mergeCell ref="C174:D175"/>
    <mergeCell ref="E174:K174"/>
    <mergeCell ref="L174:M174"/>
    <mergeCell ref="G32:H32"/>
    <mergeCell ref="O6:O7"/>
    <mergeCell ref="C20:D21"/>
    <mergeCell ref="E20:K20"/>
    <mergeCell ref="L20:M20"/>
    <mergeCell ref="N20:N21"/>
    <mergeCell ref="O20:O21"/>
    <mergeCell ref="N6:N7"/>
    <mergeCell ref="G18:H18"/>
    <mergeCell ref="C6:D7"/>
    <mergeCell ref="E6:K6"/>
    <mergeCell ref="O202:O203"/>
    <mergeCell ref="G214:H214"/>
    <mergeCell ref="C216:D217"/>
    <mergeCell ref="E216:K216"/>
    <mergeCell ref="L216:M216"/>
    <mergeCell ref="N216:N217"/>
    <mergeCell ref="O216:O217"/>
    <mergeCell ref="G200:H200"/>
    <mergeCell ref="C202:D203"/>
    <mergeCell ref="E202:K202"/>
    <mergeCell ref="L202:M202"/>
    <mergeCell ref="N202:N203"/>
    <mergeCell ref="O230:O231"/>
    <mergeCell ref="G242:H242"/>
    <mergeCell ref="C244:D245"/>
    <mergeCell ref="E244:K244"/>
    <mergeCell ref="L244:M244"/>
    <mergeCell ref="N244:N245"/>
    <mergeCell ref="O244:O245"/>
    <mergeCell ref="G228:H228"/>
    <mergeCell ref="C230:D231"/>
    <mergeCell ref="E230:K230"/>
    <mergeCell ref="L230:M230"/>
    <mergeCell ref="N230:N231"/>
    <mergeCell ref="O258:O259"/>
    <mergeCell ref="G270:H270"/>
    <mergeCell ref="C272:D273"/>
    <mergeCell ref="E272:K272"/>
    <mergeCell ref="L272:M272"/>
    <mergeCell ref="N272:N273"/>
    <mergeCell ref="O272:O273"/>
    <mergeCell ref="G256:H256"/>
    <mergeCell ref="C258:D259"/>
    <mergeCell ref="E258:K258"/>
    <mergeCell ref="L258:M258"/>
    <mergeCell ref="N258:N259"/>
    <mergeCell ref="O286:O287"/>
    <mergeCell ref="G298:H298"/>
    <mergeCell ref="C300:D301"/>
    <mergeCell ref="E300:K300"/>
    <mergeCell ref="L300:M300"/>
    <mergeCell ref="N300:N301"/>
    <mergeCell ref="O300:O301"/>
    <mergeCell ref="G284:H284"/>
    <mergeCell ref="C286:D287"/>
    <mergeCell ref="E286:K286"/>
    <mergeCell ref="L286:M286"/>
    <mergeCell ref="N286:N287"/>
    <mergeCell ref="O314:O315"/>
    <mergeCell ref="G326:H326"/>
    <mergeCell ref="C328:D329"/>
    <mergeCell ref="E328:K328"/>
    <mergeCell ref="L328:M328"/>
    <mergeCell ref="N328:N329"/>
    <mergeCell ref="O328:O329"/>
    <mergeCell ref="G312:H312"/>
    <mergeCell ref="C314:D315"/>
    <mergeCell ref="E314:K314"/>
    <mergeCell ref="L314:M314"/>
    <mergeCell ref="N314:N315"/>
    <mergeCell ref="O342:O343"/>
    <mergeCell ref="G354:H354"/>
    <mergeCell ref="C356:D357"/>
    <mergeCell ref="E356:K356"/>
    <mergeCell ref="L356:M356"/>
    <mergeCell ref="N356:N357"/>
    <mergeCell ref="O356:O357"/>
    <mergeCell ref="G340:H340"/>
    <mergeCell ref="C342:D343"/>
    <mergeCell ref="E342:K342"/>
    <mergeCell ref="L342:M342"/>
    <mergeCell ref="N342:N343"/>
    <mergeCell ref="O370:O371"/>
    <mergeCell ref="G382:H382"/>
    <mergeCell ref="C384:D385"/>
    <mergeCell ref="E384:K384"/>
    <mergeCell ref="L384:M384"/>
    <mergeCell ref="N384:N385"/>
    <mergeCell ref="O384:O385"/>
    <mergeCell ref="G368:H368"/>
    <mergeCell ref="C370:D371"/>
    <mergeCell ref="E370:K370"/>
    <mergeCell ref="L370:M370"/>
    <mergeCell ref="N370:N371"/>
  </mergeCells>
  <conditionalFormatting sqref="C8:C12 E8:O12 E22:K26 E36:K40 E50:K54 E64:K68 E78:K82 E92:K96 E106:K110 E120:K121 F122:K124 E134:K138 E148:K152 E162:K166">
    <cfRule type="expression" dxfId="297" priority="328">
      <formula>$D8=0</formula>
    </cfRule>
  </conditionalFormatting>
  <conditionalFormatting sqref="B4">
    <cfRule type="expression" dxfId="296" priority="347">
      <formula>E4="yes"</formula>
    </cfRule>
  </conditionalFormatting>
  <conditionalFormatting sqref="B18">
    <cfRule type="expression" dxfId="295" priority="345">
      <formula>E18="yes"</formula>
    </cfRule>
  </conditionalFormatting>
  <conditionalFormatting sqref="B32">
    <cfRule type="expression" dxfId="294" priority="343">
      <formula>E32="yes"</formula>
    </cfRule>
  </conditionalFormatting>
  <conditionalFormatting sqref="B46">
    <cfRule type="expression" dxfId="293" priority="341">
      <formula>E46="yes"</formula>
    </cfRule>
  </conditionalFormatting>
  <conditionalFormatting sqref="B60">
    <cfRule type="expression" dxfId="292" priority="339">
      <formula>E60="yes"</formula>
    </cfRule>
  </conditionalFormatting>
  <conditionalFormatting sqref="B74">
    <cfRule type="expression" dxfId="291" priority="337">
      <formula>E74="yes"</formula>
    </cfRule>
  </conditionalFormatting>
  <conditionalFormatting sqref="B88">
    <cfRule type="expression" dxfId="290" priority="335">
      <formula>E88="yes"</formula>
    </cfRule>
  </conditionalFormatting>
  <conditionalFormatting sqref="B102">
    <cfRule type="expression" dxfId="289" priority="331">
      <formula>E102="yes"</formula>
    </cfRule>
  </conditionalFormatting>
  <conditionalFormatting sqref="B116">
    <cfRule type="expression" dxfId="288" priority="329">
      <formula>E116="yes"</formula>
    </cfRule>
  </conditionalFormatting>
  <conditionalFormatting sqref="C12">
    <cfRule type="expression" dxfId="287" priority="327">
      <formula>$D12=0</formula>
    </cfRule>
  </conditionalFormatting>
  <conditionalFormatting sqref="C22:C26">
    <cfRule type="expression" dxfId="286" priority="326">
      <formula>$D22=0</formula>
    </cfRule>
  </conditionalFormatting>
  <conditionalFormatting sqref="C26">
    <cfRule type="expression" dxfId="285" priority="325">
      <formula>$D26=0</formula>
    </cfRule>
  </conditionalFormatting>
  <conditionalFormatting sqref="C36:C40">
    <cfRule type="expression" dxfId="284" priority="324">
      <formula>$D36=0</formula>
    </cfRule>
  </conditionalFormatting>
  <conditionalFormatting sqref="C40">
    <cfRule type="expression" dxfId="283" priority="323">
      <formula>$D40=0</formula>
    </cfRule>
  </conditionalFormatting>
  <conditionalFormatting sqref="C50:C54">
    <cfRule type="expression" dxfId="282" priority="322">
      <formula>$D50=0</formula>
    </cfRule>
  </conditionalFormatting>
  <conditionalFormatting sqref="C54">
    <cfRule type="expression" dxfId="281" priority="321">
      <formula>$D54=0</formula>
    </cfRule>
  </conditionalFormatting>
  <conditionalFormatting sqref="C64:C68">
    <cfRule type="expression" dxfId="280" priority="320">
      <formula>$D64=0</formula>
    </cfRule>
  </conditionalFormatting>
  <conditionalFormatting sqref="C68">
    <cfRule type="expression" dxfId="279" priority="319">
      <formula>$D68=0</formula>
    </cfRule>
  </conditionalFormatting>
  <conditionalFormatting sqref="C78:C82">
    <cfRule type="expression" dxfId="278" priority="318">
      <formula>$D78=0</formula>
    </cfRule>
  </conditionalFormatting>
  <conditionalFormatting sqref="C82">
    <cfRule type="expression" dxfId="277" priority="317">
      <formula>$D82=0</formula>
    </cfRule>
  </conditionalFormatting>
  <conditionalFormatting sqref="C92:C96">
    <cfRule type="expression" dxfId="276" priority="316">
      <formula>$D92=0</formula>
    </cfRule>
  </conditionalFormatting>
  <conditionalFormatting sqref="C96">
    <cfRule type="expression" dxfId="275" priority="315">
      <formula>$D96=0</formula>
    </cfRule>
  </conditionalFormatting>
  <conditionalFormatting sqref="C106:C110">
    <cfRule type="expression" dxfId="274" priority="312">
      <formula>$D106=0</formula>
    </cfRule>
  </conditionalFormatting>
  <conditionalFormatting sqref="C110">
    <cfRule type="expression" dxfId="273" priority="311">
      <formula>$D110=0</formula>
    </cfRule>
  </conditionalFormatting>
  <conditionalFormatting sqref="C120:C124 E122:E125">
    <cfRule type="expression" dxfId="272" priority="310">
      <formula>$D120=0</formula>
    </cfRule>
  </conditionalFormatting>
  <conditionalFormatting sqref="C124">
    <cfRule type="expression" dxfId="271" priority="309">
      <formula>$D124=0</formula>
    </cfRule>
  </conditionalFormatting>
  <conditionalFormatting sqref="L120:O124">
    <cfRule type="expression" dxfId="270" priority="300">
      <formula>$D120=0</formula>
    </cfRule>
  </conditionalFormatting>
  <conditionalFormatting sqref="L22:O26">
    <cfRule type="expression" dxfId="269" priority="308">
      <formula>$D22=0</formula>
    </cfRule>
  </conditionalFormatting>
  <conditionalFormatting sqref="L36:O40">
    <cfRule type="expression" dxfId="268" priority="307">
      <formula>$D36=0</formula>
    </cfRule>
  </conditionalFormatting>
  <conditionalFormatting sqref="L50:O54">
    <cfRule type="expression" dxfId="267" priority="306">
      <formula>$D50=0</formula>
    </cfRule>
  </conditionalFormatting>
  <conditionalFormatting sqref="L64:O68">
    <cfRule type="expression" dxfId="266" priority="305">
      <formula>$D64=0</formula>
    </cfRule>
  </conditionalFormatting>
  <conditionalFormatting sqref="L78:O82">
    <cfRule type="expression" dxfId="265" priority="304">
      <formula>$D78=0</formula>
    </cfRule>
  </conditionalFormatting>
  <conditionalFormatting sqref="L96:O96 O92:O95">
    <cfRule type="expression" dxfId="264" priority="303">
      <formula>$D92=0</formula>
    </cfRule>
  </conditionalFormatting>
  <conditionalFormatting sqref="L106:O110">
    <cfRule type="expression" dxfId="263" priority="301">
      <formula>$D106=0</formula>
    </cfRule>
  </conditionalFormatting>
  <conditionalFormatting sqref="B130">
    <cfRule type="expression" dxfId="262" priority="298">
      <formula>E130="yes"</formula>
    </cfRule>
  </conditionalFormatting>
  <conditionalFormatting sqref="C134:C138">
    <cfRule type="expression" dxfId="261" priority="297">
      <formula>$D134=0</formula>
    </cfRule>
  </conditionalFormatting>
  <conditionalFormatting sqref="C138">
    <cfRule type="expression" dxfId="260" priority="296">
      <formula>$D138=0</formula>
    </cfRule>
  </conditionalFormatting>
  <conditionalFormatting sqref="L134:O138">
    <cfRule type="expression" dxfId="259" priority="295">
      <formula>$D134=0</formula>
    </cfRule>
  </conditionalFormatting>
  <conditionalFormatting sqref="L92:N95">
    <cfRule type="expression" dxfId="258" priority="293">
      <formula>$D92=0</formula>
    </cfRule>
  </conditionalFormatting>
  <conditionalFormatting sqref="D8:D12">
    <cfRule type="expression" dxfId="257" priority="292">
      <formula>$D8=0</formula>
    </cfRule>
  </conditionalFormatting>
  <conditionalFormatting sqref="D12">
    <cfRule type="expression" dxfId="256" priority="291">
      <formula>$D12=0</formula>
    </cfRule>
  </conditionalFormatting>
  <conditionalFormatting sqref="D22:D26">
    <cfRule type="expression" dxfId="255" priority="290">
      <formula>$D22=0</formula>
    </cfRule>
  </conditionalFormatting>
  <conditionalFormatting sqref="D26">
    <cfRule type="expression" dxfId="254" priority="289">
      <formula>$D26=0</formula>
    </cfRule>
  </conditionalFormatting>
  <conditionalFormatting sqref="D36:D40">
    <cfRule type="expression" dxfId="253" priority="288">
      <formula>$D36=0</formula>
    </cfRule>
  </conditionalFormatting>
  <conditionalFormatting sqref="D40">
    <cfRule type="expression" dxfId="252" priority="287">
      <formula>$D40=0</formula>
    </cfRule>
  </conditionalFormatting>
  <conditionalFormatting sqref="D50:D54">
    <cfRule type="expression" dxfId="251" priority="286">
      <formula>$D50=0</formula>
    </cfRule>
  </conditionalFormatting>
  <conditionalFormatting sqref="D54">
    <cfRule type="expression" dxfId="250" priority="285">
      <formula>$D54=0</formula>
    </cfRule>
  </conditionalFormatting>
  <conditionalFormatting sqref="D64:D68">
    <cfRule type="expression" dxfId="249" priority="284">
      <formula>$D64=0</formula>
    </cfRule>
  </conditionalFormatting>
  <conditionalFormatting sqref="D68">
    <cfRule type="expression" dxfId="248" priority="283">
      <formula>$D68=0</formula>
    </cfRule>
  </conditionalFormatting>
  <conditionalFormatting sqref="D78:D82">
    <cfRule type="expression" dxfId="247" priority="282">
      <formula>$D78=0</formula>
    </cfRule>
  </conditionalFormatting>
  <conditionalFormatting sqref="D82">
    <cfRule type="expression" dxfId="246" priority="281">
      <formula>$D82=0</formula>
    </cfRule>
  </conditionalFormatting>
  <conditionalFormatting sqref="D92:D96">
    <cfRule type="expression" dxfId="245" priority="280">
      <formula>$D92=0</formula>
    </cfRule>
  </conditionalFormatting>
  <conditionalFormatting sqref="D96">
    <cfRule type="expression" dxfId="244" priority="279">
      <formula>$D96=0</formula>
    </cfRule>
  </conditionalFormatting>
  <conditionalFormatting sqref="D106:D110">
    <cfRule type="expression" dxfId="243" priority="276">
      <formula>$D106=0</formula>
    </cfRule>
  </conditionalFormatting>
  <conditionalFormatting sqref="D110">
    <cfRule type="expression" dxfId="242" priority="275">
      <formula>$D110=0</formula>
    </cfRule>
  </conditionalFormatting>
  <conditionalFormatting sqref="D120:D124">
    <cfRule type="expression" dxfId="241" priority="274">
      <formula>$D120=0</formula>
    </cfRule>
  </conditionalFormatting>
  <conditionalFormatting sqref="D124">
    <cfRule type="expression" dxfId="240" priority="273">
      <formula>$D124=0</formula>
    </cfRule>
  </conditionalFormatting>
  <conditionalFormatting sqref="D134:D138">
    <cfRule type="expression" dxfId="239" priority="272">
      <formula>$D134=0</formula>
    </cfRule>
  </conditionalFormatting>
  <conditionalFormatting sqref="D138">
    <cfRule type="expression" dxfId="238" priority="271">
      <formula>$D138=0</formula>
    </cfRule>
  </conditionalFormatting>
  <conditionalFormatting sqref="B144">
    <cfRule type="expression" dxfId="237" priority="261">
      <formula>E144="yes"</formula>
    </cfRule>
  </conditionalFormatting>
  <conditionalFormatting sqref="C148:C152">
    <cfRule type="expression" dxfId="236" priority="260">
      <formula>$D148=0</formula>
    </cfRule>
  </conditionalFormatting>
  <conditionalFormatting sqref="C152">
    <cfRule type="expression" dxfId="235" priority="259">
      <formula>$D152=0</formula>
    </cfRule>
  </conditionalFormatting>
  <conditionalFormatting sqref="L148:O152">
    <cfRule type="expression" dxfId="234" priority="258">
      <formula>$D148=0</formula>
    </cfRule>
  </conditionalFormatting>
  <conditionalFormatting sqref="D148:D152">
    <cfRule type="expression" dxfId="233" priority="257">
      <formula>$D148=0</formula>
    </cfRule>
  </conditionalFormatting>
  <conditionalFormatting sqref="D152">
    <cfRule type="expression" dxfId="232" priority="256">
      <formula>$D152=0</formula>
    </cfRule>
  </conditionalFormatting>
  <conditionalFormatting sqref="B158">
    <cfRule type="expression" dxfId="231" priority="255">
      <formula>E158="yes"</formula>
    </cfRule>
  </conditionalFormatting>
  <conditionalFormatting sqref="C162:C166">
    <cfRule type="expression" dxfId="230" priority="254">
      <formula>$D162=0</formula>
    </cfRule>
  </conditionalFormatting>
  <conditionalFormatting sqref="C166">
    <cfRule type="expression" dxfId="229" priority="253">
      <formula>$D166=0</formula>
    </cfRule>
  </conditionalFormatting>
  <conditionalFormatting sqref="L166:O166">
    <cfRule type="expression" dxfId="228" priority="252">
      <formula>$D166=0</formula>
    </cfRule>
  </conditionalFormatting>
  <conditionalFormatting sqref="D162:D166">
    <cfRule type="expression" dxfId="227" priority="251">
      <formula>$D162=0</formula>
    </cfRule>
  </conditionalFormatting>
  <conditionalFormatting sqref="D166">
    <cfRule type="expression" dxfId="226" priority="250">
      <formula>$D166=0</formula>
    </cfRule>
  </conditionalFormatting>
  <conditionalFormatting sqref="E180:K180">
    <cfRule type="expression" dxfId="225" priority="246">
      <formula>$D180=0</formula>
    </cfRule>
  </conditionalFormatting>
  <conditionalFormatting sqref="C176:C180">
    <cfRule type="expression" dxfId="224" priority="245">
      <formula>$D176=0</formula>
    </cfRule>
  </conditionalFormatting>
  <conditionalFormatting sqref="C180">
    <cfRule type="expression" dxfId="223" priority="244">
      <formula>$D180=0</formula>
    </cfRule>
  </conditionalFormatting>
  <conditionalFormatting sqref="L180:O180 O176:O179">
    <cfRule type="expression" dxfId="222" priority="243">
      <formula>$D176=0</formula>
    </cfRule>
  </conditionalFormatting>
  <conditionalFormatting sqref="D176:D180">
    <cfRule type="expression" dxfId="221" priority="242">
      <formula>$D176=0</formula>
    </cfRule>
  </conditionalFormatting>
  <conditionalFormatting sqref="D180">
    <cfRule type="expression" dxfId="220" priority="241">
      <formula>$D180=0</formula>
    </cfRule>
  </conditionalFormatting>
  <conditionalFormatting sqref="E387:K390 E386:J386">
    <cfRule type="expression" dxfId="219" priority="5">
      <formula>$D386=0</formula>
    </cfRule>
  </conditionalFormatting>
  <conditionalFormatting sqref="L386:N390">
    <cfRule type="expression" dxfId="218" priority="4">
      <formula>$D386=0</formula>
    </cfRule>
  </conditionalFormatting>
  <conditionalFormatting sqref="K386">
    <cfRule type="expression" dxfId="217" priority="3">
      <formula>$D386=0</formula>
    </cfRule>
  </conditionalFormatting>
  <conditionalFormatting sqref="E176:K176 E177:J177">
    <cfRule type="expression" dxfId="216" priority="237">
      <formula>$D176=0</formula>
    </cfRule>
  </conditionalFormatting>
  <conditionalFormatting sqref="E178:J179">
    <cfRule type="expression" dxfId="215" priority="236">
      <formula>$D178=0</formula>
    </cfRule>
  </conditionalFormatting>
  <conditionalFormatting sqref="L176:N179">
    <cfRule type="expression" dxfId="214" priority="235">
      <formula>$D176=0</formula>
    </cfRule>
  </conditionalFormatting>
  <conditionalFormatting sqref="K177">
    <cfRule type="expression" dxfId="213" priority="234">
      <formula>$D177=0</formula>
    </cfRule>
  </conditionalFormatting>
  <conditionalFormatting sqref="K178:K179">
    <cfRule type="expression" dxfId="212" priority="233">
      <formula>$D178=0</formula>
    </cfRule>
  </conditionalFormatting>
  <conditionalFormatting sqref="C190:C194">
    <cfRule type="expression" dxfId="211" priority="231">
      <formula>$D190=0</formula>
    </cfRule>
  </conditionalFormatting>
  <conditionalFormatting sqref="C194">
    <cfRule type="expression" dxfId="210" priority="230">
      <formula>$D194=0</formula>
    </cfRule>
  </conditionalFormatting>
  <conditionalFormatting sqref="O190:O194">
    <cfRule type="expression" dxfId="209" priority="229">
      <formula>$D190=0</formula>
    </cfRule>
  </conditionalFormatting>
  <conditionalFormatting sqref="D190:D194">
    <cfRule type="expression" dxfId="208" priority="228">
      <formula>$D190=0</formula>
    </cfRule>
  </conditionalFormatting>
  <conditionalFormatting sqref="D194">
    <cfRule type="expression" dxfId="207" priority="227">
      <formula>$D194=0</formula>
    </cfRule>
  </conditionalFormatting>
  <conditionalFormatting sqref="D320">
    <cfRule type="expression" dxfId="206" priority="106">
      <formula>$D320=0</formula>
    </cfRule>
  </conditionalFormatting>
  <conditionalFormatting sqref="C348">
    <cfRule type="expression" dxfId="205" priority="87">
      <formula>$D348=0</formula>
    </cfRule>
  </conditionalFormatting>
  <conditionalFormatting sqref="O344:O348">
    <cfRule type="expression" dxfId="204" priority="86">
      <formula>$D344=0</formula>
    </cfRule>
  </conditionalFormatting>
  <conditionalFormatting sqref="D344:D348">
    <cfRule type="expression" dxfId="203" priority="85">
      <formula>$D344=0</formula>
    </cfRule>
  </conditionalFormatting>
  <conditionalFormatting sqref="D348">
    <cfRule type="expression" dxfId="202" priority="84">
      <formula>$D348=0</formula>
    </cfRule>
  </conditionalFormatting>
  <conditionalFormatting sqref="C204:C208">
    <cfRule type="expression" dxfId="201" priority="220">
      <formula>$D204=0</formula>
    </cfRule>
  </conditionalFormatting>
  <conditionalFormatting sqref="C208">
    <cfRule type="expression" dxfId="200" priority="219">
      <formula>$D208=0</formula>
    </cfRule>
  </conditionalFormatting>
  <conditionalFormatting sqref="O204:O208">
    <cfRule type="expression" dxfId="199" priority="218">
      <formula>$D204=0</formula>
    </cfRule>
  </conditionalFormatting>
  <conditionalFormatting sqref="D204:D208">
    <cfRule type="expression" dxfId="198" priority="217">
      <formula>$D204=0</formula>
    </cfRule>
  </conditionalFormatting>
  <conditionalFormatting sqref="D208">
    <cfRule type="expression" dxfId="197" priority="216">
      <formula>$D208=0</formula>
    </cfRule>
  </conditionalFormatting>
  <conditionalFormatting sqref="O330:O334">
    <cfRule type="expression" dxfId="196" priority="97">
      <formula>$D330=0</formula>
    </cfRule>
  </conditionalFormatting>
  <conditionalFormatting sqref="D330:D334">
    <cfRule type="expression" dxfId="195" priority="96">
      <formula>$D330=0</formula>
    </cfRule>
  </conditionalFormatting>
  <conditionalFormatting sqref="D334">
    <cfRule type="expression" dxfId="194" priority="95">
      <formula>$D334=0</formula>
    </cfRule>
  </conditionalFormatting>
  <conditionalFormatting sqref="C218:C222">
    <cfRule type="expression" dxfId="193" priority="209">
      <formula>$D218=0</formula>
    </cfRule>
  </conditionalFormatting>
  <conditionalFormatting sqref="C222">
    <cfRule type="expression" dxfId="192" priority="208">
      <formula>$D222=0</formula>
    </cfRule>
  </conditionalFormatting>
  <conditionalFormatting sqref="O218:O222">
    <cfRule type="expression" dxfId="191" priority="207">
      <formula>$D218=0</formula>
    </cfRule>
  </conditionalFormatting>
  <conditionalFormatting sqref="D218:D222">
    <cfRule type="expression" dxfId="190" priority="206">
      <formula>$D218=0</formula>
    </cfRule>
  </conditionalFormatting>
  <conditionalFormatting sqref="D222">
    <cfRule type="expression" dxfId="189" priority="205">
      <formula>$D222=0</formula>
    </cfRule>
  </conditionalFormatting>
  <conditionalFormatting sqref="C344:C348">
    <cfRule type="expression" dxfId="188" priority="88">
      <formula>$D344=0</formula>
    </cfRule>
  </conditionalFormatting>
  <conditionalFormatting sqref="C232:C236">
    <cfRule type="expression" dxfId="187" priority="198">
      <formula>$D232=0</formula>
    </cfRule>
  </conditionalFormatting>
  <conditionalFormatting sqref="C236">
    <cfRule type="expression" dxfId="186" priority="197">
      <formula>$D236=0</formula>
    </cfRule>
  </conditionalFormatting>
  <conditionalFormatting sqref="O232:O236">
    <cfRule type="expression" dxfId="185" priority="196">
      <formula>$D232=0</formula>
    </cfRule>
  </conditionalFormatting>
  <conditionalFormatting sqref="D232:D236">
    <cfRule type="expression" dxfId="184" priority="195">
      <formula>$D232=0</formula>
    </cfRule>
  </conditionalFormatting>
  <conditionalFormatting sqref="D236">
    <cfRule type="expression" dxfId="183" priority="194">
      <formula>$D236=0</formula>
    </cfRule>
  </conditionalFormatting>
  <conditionalFormatting sqref="E362:K362">
    <cfRule type="expression" dxfId="182" priority="78">
      <formula>$D362=0</formula>
    </cfRule>
  </conditionalFormatting>
  <conditionalFormatting sqref="C358:C362">
    <cfRule type="expression" dxfId="181" priority="77">
      <formula>$D358=0</formula>
    </cfRule>
  </conditionalFormatting>
  <conditionalFormatting sqref="C362">
    <cfRule type="expression" dxfId="180" priority="76">
      <formula>$D362=0</formula>
    </cfRule>
  </conditionalFormatting>
  <conditionalFormatting sqref="L362:O362 O358:O361">
    <cfRule type="expression" dxfId="179" priority="75">
      <formula>$D358=0</formula>
    </cfRule>
  </conditionalFormatting>
  <conditionalFormatting sqref="C246:C250">
    <cfRule type="expression" dxfId="178" priority="187">
      <formula>$D246=0</formula>
    </cfRule>
  </conditionalFormatting>
  <conditionalFormatting sqref="C250">
    <cfRule type="expression" dxfId="177" priority="186">
      <formula>$D250=0</formula>
    </cfRule>
  </conditionalFormatting>
  <conditionalFormatting sqref="O246:O250">
    <cfRule type="expression" dxfId="176" priority="185">
      <formula>$D246=0</formula>
    </cfRule>
  </conditionalFormatting>
  <conditionalFormatting sqref="D246:D250">
    <cfRule type="expression" dxfId="175" priority="184">
      <formula>$D246=0</formula>
    </cfRule>
  </conditionalFormatting>
  <conditionalFormatting sqref="D250">
    <cfRule type="expression" dxfId="174" priority="183">
      <formula>$D250=0</formula>
    </cfRule>
  </conditionalFormatting>
  <conditionalFormatting sqref="D372:D376">
    <cfRule type="expression" dxfId="173" priority="63">
      <formula>$D372=0</formula>
    </cfRule>
  </conditionalFormatting>
  <conditionalFormatting sqref="D376">
    <cfRule type="expression" dxfId="172" priority="62">
      <formula>$D376=0</formula>
    </cfRule>
  </conditionalFormatting>
  <conditionalFormatting sqref="C372:C376">
    <cfRule type="expression" dxfId="171" priority="66">
      <formula>$D372=0</formula>
    </cfRule>
  </conditionalFormatting>
  <conditionalFormatting sqref="C376">
    <cfRule type="expression" dxfId="170" priority="65">
      <formula>$D376=0</formula>
    </cfRule>
  </conditionalFormatting>
  <conditionalFormatting sqref="C260:C264">
    <cfRule type="expression" dxfId="169" priority="176">
      <formula>$D260=0</formula>
    </cfRule>
  </conditionalFormatting>
  <conditionalFormatting sqref="C264">
    <cfRule type="expression" dxfId="168" priority="175">
      <formula>$D264=0</formula>
    </cfRule>
  </conditionalFormatting>
  <conditionalFormatting sqref="O260:O264">
    <cfRule type="expression" dxfId="167" priority="174">
      <formula>$D260=0</formula>
    </cfRule>
  </conditionalFormatting>
  <conditionalFormatting sqref="D260:D264">
    <cfRule type="expression" dxfId="166" priority="173">
      <formula>$D260=0</formula>
    </cfRule>
  </conditionalFormatting>
  <conditionalFormatting sqref="D264">
    <cfRule type="expression" dxfId="165" priority="172">
      <formula>$D264=0</formula>
    </cfRule>
  </conditionalFormatting>
  <conditionalFormatting sqref="O372:O376">
    <cfRule type="expression" dxfId="164" priority="64">
      <formula>$D372=0</formula>
    </cfRule>
  </conditionalFormatting>
  <conditionalFormatting sqref="C274:C278">
    <cfRule type="expression" dxfId="163" priority="165">
      <formula>$D274=0</formula>
    </cfRule>
  </conditionalFormatting>
  <conditionalFormatting sqref="C278">
    <cfRule type="expression" dxfId="162" priority="164">
      <formula>$D278=0</formula>
    </cfRule>
  </conditionalFormatting>
  <conditionalFormatting sqref="O274:O278">
    <cfRule type="expression" dxfId="161" priority="163">
      <formula>$D274=0</formula>
    </cfRule>
  </conditionalFormatting>
  <conditionalFormatting sqref="D274:D278">
    <cfRule type="expression" dxfId="160" priority="162">
      <formula>$D274=0</formula>
    </cfRule>
  </conditionalFormatting>
  <conditionalFormatting sqref="D278">
    <cfRule type="expression" dxfId="159" priority="161">
      <formula>$D278=0</formula>
    </cfRule>
  </conditionalFormatting>
  <conditionalFormatting sqref="O386:O390">
    <cfRule type="expression" dxfId="158" priority="53">
      <formula>$D386=0</formula>
    </cfRule>
  </conditionalFormatting>
  <conditionalFormatting sqref="D386:D390">
    <cfRule type="expression" dxfId="157" priority="52">
      <formula>$D386=0</formula>
    </cfRule>
  </conditionalFormatting>
  <conditionalFormatting sqref="C386:C390">
    <cfRule type="expression" dxfId="156" priority="55">
      <formula>$D386=0</formula>
    </cfRule>
  </conditionalFormatting>
  <conditionalFormatting sqref="C390">
    <cfRule type="expression" dxfId="155" priority="54">
      <formula>$D390=0</formula>
    </cfRule>
  </conditionalFormatting>
  <conditionalFormatting sqref="C288:C292">
    <cfRule type="expression" dxfId="154" priority="154">
      <formula>$D288=0</formula>
    </cfRule>
  </conditionalFormatting>
  <conditionalFormatting sqref="C292">
    <cfRule type="expression" dxfId="153" priority="153">
      <formula>$D292=0</formula>
    </cfRule>
  </conditionalFormatting>
  <conditionalFormatting sqref="O288:O292">
    <cfRule type="expression" dxfId="152" priority="152">
      <formula>$D288=0</formula>
    </cfRule>
  </conditionalFormatting>
  <conditionalFormatting sqref="D288:D292">
    <cfRule type="expression" dxfId="151" priority="151">
      <formula>$D288=0</formula>
    </cfRule>
  </conditionalFormatting>
  <conditionalFormatting sqref="D292">
    <cfRule type="expression" dxfId="150" priority="150">
      <formula>$D292=0</formula>
    </cfRule>
  </conditionalFormatting>
  <conditionalFormatting sqref="L218:N222">
    <cfRule type="expression" dxfId="149" priority="139">
      <formula>$D218=0</formula>
    </cfRule>
  </conditionalFormatting>
  <conditionalFormatting sqref="E232:K236">
    <cfRule type="expression" dxfId="148" priority="138">
      <formula>$D232=0</formula>
    </cfRule>
  </conditionalFormatting>
  <conditionalFormatting sqref="L232:N236">
    <cfRule type="expression" dxfId="147" priority="137">
      <formula>$D232=0</formula>
    </cfRule>
  </conditionalFormatting>
  <conditionalFormatting sqref="E246:K246 E250:K250 H247:I249">
    <cfRule type="expression" dxfId="146" priority="136">
      <formula>$D246=0</formula>
    </cfRule>
  </conditionalFormatting>
  <conditionalFormatting sqref="E247:F249 J247:J249">
    <cfRule type="expression" dxfId="145" priority="135">
      <formula>$D247=0</formula>
    </cfRule>
  </conditionalFormatting>
  <conditionalFormatting sqref="E190:K194">
    <cfRule type="expression" dxfId="144" priority="144">
      <formula>$D190=0</formula>
    </cfRule>
  </conditionalFormatting>
  <conditionalFormatting sqref="L190:N194">
    <cfRule type="expression" dxfId="143" priority="143">
      <formula>$D190=0</formula>
    </cfRule>
  </conditionalFormatting>
  <conditionalFormatting sqref="E204:K208">
    <cfRule type="expression" dxfId="142" priority="142">
      <formula>$D204=0</formula>
    </cfRule>
  </conditionalFormatting>
  <conditionalFormatting sqref="L204:N208">
    <cfRule type="expression" dxfId="141" priority="141">
      <formula>$D204=0</formula>
    </cfRule>
  </conditionalFormatting>
  <conditionalFormatting sqref="E218:K222">
    <cfRule type="expression" dxfId="140" priority="140">
      <formula>$D218=0</formula>
    </cfRule>
  </conditionalFormatting>
  <conditionalFormatting sqref="L246:N250">
    <cfRule type="expression" dxfId="139" priority="134">
      <formula>$D246=0</formula>
    </cfRule>
  </conditionalFormatting>
  <conditionalFormatting sqref="K247">
    <cfRule type="expression" dxfId="138" priority="133">
      <formula>$D247=0</formula>
    </cfRule>
  </conditionalFormatting>
  <conditionalFormatting sqref="K248:K249">
    <cfRule type="expression" dxfId="137" priority="132">
      <formula>$D248=0</formula>
    </cfRule>
  </conditionalFormatting>
  <conditionalFormatting sqref="G247">
    <cfRule type="expression" dxfId="136" priority="131">
      <formula>$D247=0</formula>
    </cfRule>
  </conditionalFormatting>
  <conditionalFormatting sqref="G248:G249">
    <cfRule type="expression" dxfId="135" priority="130">
      <formula>$D248=0</formula>
    </cfRule>
  </conditionalFormatting>
  <conditionalFormatting sqref="E263:K264 E260:K260 E261:J262">
    <cfRule type="expression" dxfId="134" priority="129">
      <formula>$D260=0</formula>
    </cfRule>
  </conditionalFormatting>
  <conditionalFormatting sqref="L260:N264">
    <cfRule type="expression" dxfId="133" priority="128">
      <formula>$D260=0</formula>
    </cfRule>
  </conditionalFormatting>
  <conditionalFormatting sqref="K261:K262">
    <cfRule type="expression" dxfId="132" priority="127">
      <formula>$D261=0</formula>
    </cfRule>
  </conditionalFormatting>
  <conditionalFormatting sqref="E274:K274 E277:K278 F275:J276">
    <cfRule type="expression" dxfId="131" priority="126">
      <formula>$D274=0</formula>
    </cfRule>
  </conditionalFormatting>
  <conditionalFormatting sqref="L274:N278">
    <cfRule type="expression" dxfId="130" priority="125">
      <formula>$D274=0</formula>
    </cfRule>
  </conditionalFormatting>
  <conditionalFormatting sqref="E275:E276">
    <cfRule type="expression" dxfId="129" priority="123">
      <formula>$D275=0</formula>
    </cfRule>
  </conditionalFormatting>
  <conditionalFormatting sqref="K275:K276">
    <cfRule type="expression" dxfId="128" priority="124">
      <formula>$D275=0</formula>
    </cfRule>
  </conditionalFormatting>
  <conditionalFormatting sqref="D306">
    <cfRule type="expression" dxfId="127" priority="117">
      <formula>$D306=0</formula>
    </cfRule>
  </conditionalFormatting>
  <conditionalFormatting sqref="C302:C306">
    <cfRule type="expression" dxfId="126" priority="121">
      <formula>$D302=0</formula>
    </cfRule>
  </conditionalFormatting>
  <conditionalFormatting sqref="C306">
    <cfRule type="expression" dxfId="125" priority="120">
      <formula>$D306=0</formula>
    </cfRule>
  </conditionalFormatting>
  <conditionalFormatting sqref="O302:O306">
    <cfRule type="expression" dxfId="124" priority="119">
      <formula>$D302=0</formula>
    </cfRule>
  </conditionalFormatting>
  <conditionalFormatting sqref="D302:D306">
    <cfRule type="expression" dxfId="123" priority="118">
      <formula>$D302=0</formula>
    </cfRule>
  </conditionalFormatting>
  <conditionalFormatting sqref="C316:C320">
    <cfRule type="expression" dxfId="122" priority="110">
      <formula>$D316=0</formula>
    </cfRule>
  </conditionalFormatting>
  <conditionalFormatting sqref="C320">
    <cfRule type="expression" dxfId="121" priority="109">
      <formula>$D320=0</formula>
    </cfRule>
  </conditionalFormatting>
  <conditionalFormatting sqref="O316:O320">
    <cfRule type="expression" dxfId="120" priority="108">
      <formula>$D316=0</formula>
    </cfRule>
  </conditionalFormatting>
  <conditionalFormatting sqref="D316:D320">
    <cfRule type="expression" dxfId="119" priority="107">
      <formula>$D316=0</formula>
    </cfRule>
  </conditionalFormatting>
  <conditionalFormatting sqref="C330:C334">
    <cfRule type="expression" dxfId="118" priority="99">
      <formula>$D330=0</formula>
    </cfRule>
  </conditionalFormatting>
  <conditionalFormatting sqref="C334">
    <cfRule type="expression" dxfId="117" priority="98">
      <formula>$D334=0</formula>
    </cfRule>
  </conditionalFormatting>
  <conditionalFormatting sqref="D358:D362">
    <cfRule type="expression" dxfId="116" priority="74">
      <formula>$D358=0</formula>
    </cfRule>
  </conditionalFormatting>
  <conditionalFormatting sqref="D362">
    <cfRule type="expression" dxfId="115" priority="73">
      <formula>$D362=0</formula>
    </cfRule>
  </conditionalFormatting>
  <conditionalFormatting sqref="D390">
    <cfRule type="expression" dxfId="114" priority="51">
      <formula>$D390=0</formula>
    </cfRule>
  </conditionalFormatting>
  <conditionalFormatting sqref="E288:K288 E291:K292 F289:F290">
    <cfRule type="expression" dxfId="113" priority="34">
      <formula>$D288=0</formula>
    </cfRule>
  </conditionalFormatting>
  <conditionalFormatting sqref="E289:E290 G289:I290">
    <cfRule type="expression" dxfId="112" priority="33">
      <formula>$D289=0</formula>
    </cfRule>
  </conditionalFormatting>
  <conditionalFormatting sqref="L288:N292">
    <cfRule type="expression" dxfId="111" priority="32">
      <formula>$D288=0</formula>
    </cfRule>
  </conditionalFormatting>
  <conditionalFormatting sqref="K289:K290">
    <cfRule type="expression" dxfId="110" priority="31">
      <formula>$D289=0</formula>
    </cfRule>
  </conditionalFormatting>
  <conditionalFormatting sqref="J289:J290">
    <cfRule type="expression" dxfId="109" priority="30">
      <formula>$D289=0</formula>
    </cfRule>
  </conditionalFormatting>
  <conditionalFormatting sqref="E372:K376">
    <cfRule type="expression" dxfId="108" priority="7">
      <formula>$D372=0</formula>
    </cfRule>
  </conditionalFormatting>
  <conditionalFormatting sqref="L372:N376">
    <cfRule type="expression" dxfId="107" priority="6">
      <formula>$D372=0</formula>
    </cfRule>
  </conditionalFormatting>
  <conditionalFormatting sqref="E302:K302 E305:K306 F303:J304">
    <cfRule type="expression" dxfId="106" priority="24">
      <formula>$D302=0</formula>
    </cfRule>
  </conditionalFormatting>
  <conditionalFormatting sqref="L302:N306">
    <cfRule type="expression" dxfId="105" priority="23">
      <formula>$D302=0</formula>
    </cfRule>
  </conditionalFormatting>
  <conditionalFormatting sqref="E303:E304">
    <cfRule type="expression" dxfId="104" priority="22">
      <formula>$D303=0</formula>
    </cfRule>
  </conditionalFormatting>
  <conditionalFormatting sqref="K303:K304">
    <cfRule type="expression" dxfId="103" priority="21">
      <formula>$D303=0</formula>
    </cfRule>
  </conditionalFormatting>
  <conditionalFormatting sqref="E316:K316 E319:K320">
    <cfRule type="expression" dxfId="102" priority="20">
      <formula>$D316=0</formula>
    </cfRule>
  </conditionalFormatting>
  <conditionalFormatting sqref="F317:F318 I317:J318">
    <cfRule type="expression" dxfId="101" priority="19">
      <formula>$D317=0</formula>
    </cfRule>
  </conditionalFormatting>
  <conditionalFormatting sqref="L316:N320">
    <cfRule type="expression" dxfId="100" priority="18">
      <formula>$D316=0</formula>
    </cfRule>
  </conditionalFormatting>
  <conditionalFormatting sqref="K317:K318">
    <cfRule type="expression" dxfId="99" priority="17">
      <formula>$D317=0</formula>
    </cfRule>
  </conditionalFormatting>
  <conditionalFormatting sqref="E317:E318">
    <cfRule type="expression" dxfId="98" priority="16">
      <formula>$D317=0</formula>
    </cfRule>
  </conditionalFormatting>
  <conditionalFormatting sqref="G317:G318">
    <cfRule type="expression" dxfId="97" priority="15">
      <formula>$D317=0</formula>
    </cfRule>
  </conditionalFormatting>
  <conditionalFormatting sqref="H317:H318">
    <cfRule type="expression" dxfId="96" priority="14">
      <formula>$D317=0</formula>
    </cfRule>
  </conditionalFormatting>
  <conditionalFormatting sqref="E330:K334">
    <cfRule type="expression" dxfId="95" priority="13">
      <formula>$D330=0</formula>
    </cfRule>
  </conditionalFormatting>
  <conditionalFormatting sqref="L330:N334">
    <cfRule type="expression" dxfId="94" priority="12">
      <formula>$D330=0</formula>
    </cfRule>
  </conditionalFormatting>
  <conditionalFormatting sqref="E344:K348">
    <cfRule type="expression" dxfId="93" priority="11">
      <formula>$D344=0</formula>
    </cfRule>
  </conditionalFormatting>
  <conditionalFormatting sqref="L344:N348">
    <cfRule type="expression" dxfId="92" priority="10">
      <formula>$D344=0</formula>
    </cfRule>
  </conditionalFormatting>
  <conditionalFormatting sqref="E358:K361">
    <cfRule type="expression" dxfId="91" priority="9">
      <formula>$D358=0</formula>
    </cfRule>
  </conditionalFormatting>
  <conditionalFormatting sqref="L358:N361">
    <cfRule type="expression" dxfId="90" priority="8">
      <formula>$D358=0</formula>
    </cfRule>
  </conditionalFormatting>
  <conditionalFormatting sqref="O162:O165">
    <cfRule type="expression" dxfId="89" priority="2">
      <formula>$D162=0</formula>
    </cfRule>
  </conditionalFormatting>
  <conditionalFormatting sqref="L162:N165">
    <cfRule type="expression" dxfId="88" priority="1">
      <formula>$D162=0</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238"/>
  <sheetViews>
    <sheetView zoomScale="40" zoomScaleNormal="40" workbookViewId="0">
      <selection activeCell="Y39" sqref="Y39"/>
    </sheetView>
  </sheetViews>
  <sheetFormatPr defaultColWidth="9.453125" defaultRowHeight="14.5" outlineLevelRow="2" x14ac:dyDescent="0.35"/>
  <cols>
    <col min="1" max="1" width="3.453125" style="30" customWidth="1"/>
    <col min="2" max="2" width="5.453125" style="30" customWidth="1"/>
    <col min="3" max="3" width="14.54296875" style="3" customWidth="1"/>
    <col min="4" max="4" width="60.54296875" style="3" customWidth="1"/>
    <col min="5" max="6" width="20" style="3" customWidth="1"/>
    <col min="7" max="11" width="20" style="2" customWidth="1"/>
    <col min="12" max="13" width="28" style="2" customWidth="1"/>
    <col min="14" max="14" width="20" style="2" customWidth="1"/>
    <col min="15" max="15" width="33.453125" style="3" customWidth="1"/>
    <col min="16" max="16" width="53.54296875" style="3" customWidth="1"/>
    <col min="17" max="17" width="27" style="3" customWidth="1"/>
    <col min="18" max="16384" width="9.453125" style="3"/>
  </cols>
  <sheetData>
    <row r="1" spans="1:17" s="44" customFormat="1" ht="37.5" customHeight="1" thickBot="1" x14ac:dyDescent="0.55000000000000004">
      <c r="A1" s="40"/>
      <c r="B1" s="40"/>
      <c r="C1" s="40" t="s">
        <v>3</v>
      </c>
      <c r="D1" s="41" t="s">
        <v>810</v>
      </c>
      <c r="E1" s="42"/>
      <c r="F1" s="42"/>
      <c r="G1" s="43"/>
      <c r="H1" s="43"/>
      <c r="I1" s="43"/>
      <c r="J1" s="43"/>
      <c r="K1" s="43"/>
      <c r="L1" s="43"/>
      <c r="M1" s="43"/>
      <c r="N1" s="43"/>
      <c r="O1" s="42"/>
      <c r="P1" s="42"/>
      <c r="Q1" s="42"/>
    </row>
    <row r="2" spans="1:17" s="30" customFormat="1" ht="26.25" customHeight="1" thickTop="1" thickBot="1" x14ac:dyDescent="0.4"/>
    <row r="3" spans="1:17" ht="17.25" customHeight="1" thickBot="1" x14ac:dyDescent="0.4">
      <c r="C3" s="46" t="s">
        <v>677</v>
      </c>
      <c r="D3" s="39" t="s">
        <v>678</v>
      </c>
      <c r="E3" s="30"/>
      <c r="F3" s="30"/>
      <c r="G3" s="33"/>
      <c r="H3" s="33"/>
      <c r="I3" s="33"/>
      <c r="J3" s="33"/>
      <c r="K3" s="33"/>
      <c r="L3" s="33"/>
      <c r="M3" s="33"/>
      <c r="N3" s="33"/>
      <c r="O3" s="30"/>
      <c r="P3" s="30"/>
    </row>
    <row r="4" spans="1:17" s="25" customFormat="1" ht="36.75" customHeight="1" thickBot="1" x14ac:dyDescent="0.7">
      <c r="A4" s="30"/>
      <c r="B4" s="50" t="s">
        <v>679</v>
      </c>
      <c r="C4" s="45" t="s">
        <v>604</v>
      </c>
      <c r="D4" s="49" t="str">
        <f>VLOOKUP(C4,overview_of_services!$B$2:$I$123,3,FALSE)</f>
        <v>Coming home - leaving home functions</v>
      </c>
      <c r="E4" s="75"/>
      <c r="F4" s="80" t="s">
        <v>680</v>
      </c>
      <c r="G4" s="584" t="e">
        <f>VLOOKUP(C4,overview_of_services!$B$2:$I$88,2,FALSE)</f>
        <v>#N/A</v>
      </c>
      <c r="H4" s="584"/>
      <c r="I4" s="80"/>
      <c r="J4" s="24"/>
      <c r="K4" s="24"/>
      <c r="L4" s="24"/>
      <c r="M4" s="24"/>
      <c r="N4" s="24"/>
    </row>
    <row r="5" spans="1:17" ht="5.25" customHeight="1" x14ac:dyDescent="0.35">
      <c r="C5" s="35"/>
      <c r="D5" s="35"/>
      <c r="E5" s="35"/>
      <c r="F5" s="35"/>
      <c r="G5" s="35"/>
      <c r="H5" s="35"/>
      <c r="I5" s="35"/>
      <c r="J5" s="35"/>
      <c r="K5" s="35"/>
      <c r="L5" s="35"/>
      <c r="M5" s="35"/>
      <c r="N5" s="35"/>
      <c r="O5" s="35"/>
      <c r="P5" s="30"/>
    </row>
    <row r="6" spans="1:17" ht="20.25" customHeight="1" outlineLevel="1" x14ac:dyDescent="0.35">
      <c r="C6" s="590" t="s">
        <v>682</v>
      </c>
      <c r="D6" s="590"/>
      <c r="E6" s="585" t="s">
        <v>683</v>
      </c>
      <c r="F6" s="585"/>
      <c r="G6" s="585"/>
      <c r="H6" s="585"/>
      <c r="I6" s="585"/>
      <c r="J6" s="585"/>
      <c r="K6" s="585"/>
      <c r="L6" s="582" t="s">
        <v>684</v>
      </c>
      <c r="M6" s="583"/>
      <c r="N6" s="588" t="s">
        <v>685</v>
      </c>
      <c r="O6" s="586" t="s">
        <v>686</v>
      </c>
      <c r="P6" s="30"/>
    </row>
    <row r="7" spans="1:17" ht="36.75" customHeight="1" outlineLevel="1" thickBot="1" x14ac:dyDescent="0.4">
      <c r="C7" s="591"/>
      <c r="D7" s="591"/>
      <c r="E7" s="36" t="s">
        <v>687</v>
      </c>
      <c r="F7" s="36" t="s">
        <v>688</v>
      </c>
      <c r="G7" s="36" t="s">
        <v>689</v>
      </c>
      <c r="H7" s="36" t="s">
        <v>690</v>
      </c>
      <c r="I7" s="36" t="s">
        <v>616</v>
      </c>
      <c r="J7" s="36" t="s">
        <v>691</v>
      </c>
      <c r="K7" s="36" t="s">
        <v>692</v>
      </c>
      <c r="L7" s="52" t="s">
        <v>693</v>
      </c>
      <c r="M7" s="52" t="s">
        <v>694</v>
      </c>
      <c r="N7" s="589"/>
      <c r="O7" s="587"/>
      <c r="P7" s="30"/>
    </row>
    <row r="8" spans="1:17" s="27" customFormat="1" ht="35.25" customHeight="1" outlineLevel="1" thickTop="1" x14ac:dyDescent="0.35">
      <c r="A8" s="30"/>
      <c r="B8" s="30"/>
      <c r="C8" s="47" t="s">
        <v>695</v>
      </c>
      <c r="D8" s="29" t="str">
        <f>VLOOKUP(C4,overview_of_services!$B$2:$I$123,4,FALSE)</f>
        <v>none</v>
      </c>
      <c r="E8" s="76" t="s">
        <v>811</v>
      </c>
      <c r="F8" s="76" t="s">
        <v>811</v>
      </c>
      <c r="G8" s="76" t="s">
        <v>811</v>
      </c>
      <c r="H8" s="76" t="s">
        <v>811</v>
      </c>
      <c r="I8" s="76" t="s">
        <v>811</v>
      </c>
      <c r="J8" s="76" t="s">
        <v>811</v>
      </c>
      <c r="K8" s="76" t="s">
        <v>811</v>
      </c>
      <c r="L8" s="56" t="s">
        <v>696</v>
      </c>
      <c r="M8" s="56" t="s">
        <v>696</v>
      </c>
      <c r="N8" s="55">
        <v>0</v>
      </c>
      <c r="O8" s="54" t="s">
        <v>721</v>
      </c>
      <c r="P8" s="31"/>
    </row>
    <row r="9" spans="1:17" s="27" customFormat="1" ht="35.25" customHeight="1" outlineLevel="1" x14ac:dyDescent="0.35">
      <c r="A9" s="30"/>
      <c r="B9" s="30"/>
      <c r="C9" s="48" t="s">
        <v>699</v>
      </c>
      <c r="D9" s="1" t="str">
        <f>VLOOKUP(C4,overview_of_services!$B$2:$I$123,5,FALSE)</f>
        <v>mobile based</v>
      </c>
      <c r="E9" s="76" t="s">
        <v>811</v>
      </c>
      <c r="F9" s="76" t="s">
        <v>811</v>
      </c>
      <c r="G9" s="76" t="s">
        <v>811</v>
      </c>
      <c r="H9" s="76" t="s">
        <v>811</v>
      </c>
      <c r="I9" s="76" t="s">
        <v>811</v>
      </c>
      <c r="J9" s="76" t="s">
        <v>811</v>
      </c>
      <c r="K9" s="76" t="s">
        <v>811</v>
      </c>
      <c r="L9" s="56" t="s">
        <v>799</v>
      </c>
      <c r="M9" s="56" t="s">
        <v>799</v>
      </c>
      <c r="N9" s="55" t="s">
        <v>791</v>
      </c>
      <c r="O9" s="54" t="s">
        <v>721</v>
      </c>
      <c r="P9" s="31"/>
    </row>
    <row r="10" spans="1:17" s="27" customFormat="1" ht="35.25" customHeight="1" outlineLevel="1" x14ac:dyDescent="0.35">
      <c r="A10" s="30"/>
      <c r="B10" s="30"/>
      <c r="C10" s="48" t="s">
        <v>703</v>
      </c>
      <c r="D10" s="1" t="str">
        <f>VLOOKUP(C4,overview_of_services!$B$2:$I$123,6,FALSE)</f>
        <v>RFID based</v>
      </c>
      <c r="E10" s="76" t="s">
        <v>811</v>
      </c>
      <c r="F10" s="76" t="s">
        <v>811</v>
      </c>
      <c r="G10" s="76" t="s">
        <v>811</v>
      </c>
      <c r="H10" s="76" t="s">
        <v>811</v>
      </c>
      <c r="I10" s="76" t="s">
        <v>811</v>
      </c>
      <c r="J10" s="76" t="s">
        <v>811</v>
      </c>
      <c r="K10" s="76" t="s">
        <v>811</v>
      </c>
      <c r="L10" s="56" t="s">
        <v>799</v>
      </c>
      <c r="M10" s="56" t="s">
        <v>799</v>
      </c>
      <c r="N10" s="55" t="s">
        <v>791</v>
      </c>
      <c r="O10" s="54" t="s">
        <v>721</v>
      </c>
      <c r="P10" s="31"/>
    </row>
    <row r="11" spans="1:17" s="27" customFormat="1" ht="35.25" customHeight="1" outlineLevel="1" x14ac:dyDescent="0.35">
      <c r="A11" s="30"/>
      <c r="B11" s="30"/>
      <c r="C11" s="48" t="s">
        <v>706</v>
      </c>
      <c r="D11" s="1">
        <f>VLOOKUP(C4,overview_of_services!$B$2:$I$123,7,FALSE)</f>
        <v>0</v>
      </c>
      <c r="E11" s="37" t="s">
        <v>721</v>
      </c>
      <c r="F11" s="37" t="s">
        <v>721</v>
      </c>
      <c r="G11" s="37" t="s">
        <v>721</v>
      </c>
      <c r="H11" s="37" t="s">
        <v>721</v>
      </c>
      <c r="I11" s="37" t="s">
        <v>721</v>
      </c>
      <c r="J11" s="37" t="s">
        <v>721</v>
      </c>
      <c r="K11" s="37" t="s">
        <v>721</v>
      </c>
      <c r="L11" s="38" t="s">
        <v>721</v>
      </c>
      <c r="M11" s="38" t="s">
        <v>721</v>
      </c>
      <c r="N11" s="26" t="s">
        <v>721</v>
      </c>
      <c r="O11" s="34" t="s">
        <v>721</v>
      </c>
      <c r="P11" s="31"/>
    </row>
    <row r="12" spans="1:17" s="27" customFormat="1" ht="35.25" customHeight="1" outlineLevel="1" x14ac:dyDescent="0.35">
      <c r="A12" s="30"/>
      <c r="B12" s="30"/>
      <c r="C12" s="48" t="s">
        <v>710</v>
      </c>
      <c r="D12" s="1">
        <f>VLOOKUP(C4,overview_of_services!$B$2:$I$123,8,FALSE)</f>
        <v>0</v>
      </c>
      <c r="E12" s="37" t="s">
        <v>721</v>
      </c>
      <c r="F12" s="37" t="s">
        <v>721</v>
      </c>
      <c r="G12" s="37" t="s">
        <v>721</v>
      </c>
      <c r="H12" s="37" t="s">
        <v>721</v>
      </c>
      <c r="I12" s="37" t="s">
        <v>721</v>
      </c>
      <c r="J12" s="37" t="s">
        <v>721</v>
      </c>
      <c r="K12" s="37" t="s">
        <v>721</v>
      </c>
      <c r="L12" s="38" t="s">
        <v>721</v>
      </c>
      <c r="M12" s="38" t="s">
        <v>721</v>
      </c>
      <c r="N12" s="26" t="s">
        <v>721</v>
      </c>
      <c r="O12" s="34" t="s">
        <v>721</v>
      </c>
      <c r="P12" s="31"/>
    </row>
    <row r="13" spans="1:17" s="27" customFormat="1" ht="6" customHeight="1" outlineLevel="2" thickBot="1" x14ac:dyDescent="0.4">
      <c r="A13" s="30"/>
      <c r="B13" s="30"/>
      <c r="C13" s="31"/>
      <c r="D13" s="31"/>
      <c r="E13" s="32"/>
      <c r="F13" s="32"/>
      <c r="G13" s="32"/>
      <c r="H13" s="32"/>
      <c r="I13" s="32"/>
      <c r="J13" s="32"/>
      <c r="K13" s="32"/>
      <c r="L13" s="31"/>
      <c r="M13" s="31"/>
      <c r="N13" s="31"/>
      <c r="O13" s="31"/>
      <c r="P13" s="31"/>
    </row>
    <row r="14" spans="1:17" s="27" customFormat="1" ht="30.75" customHeight="1" outlineLevel="2" thickBot="1" x14ac:dyDescent="0.4">
      <c r="A14" s="30"/>
      <c r="B14" s="30"/>
      <c r="C14" s="28"/>
      <c r="D14" s="28" t="s">
        <v>712</v>
      </c>
      <c r="E14" s="4" t="s">
        <v>713</v>
      </c>
      <c r="F14" s="4" t="s">
        <v>713</v>
      </c>
      <c r="G14" s="4" t="s">
        <v>713</v>
      </c>
      <c r="H14" s="4" t="s">
        <v>713</v>
      </c>
      <c r="I14" s="4" t="s">
        <v>713</v>
      </c>
      <c r="J14" s="4" t="s">
        <v>713</v>
      </c>
      <c r="K14" s="4" t="s">
        <v>713</v>
      </c>
      <c r="L14" s="4" t="s">
        <v>713</v>
      </c>
      <c r="M14" s="4" t="s">
        <v>713</v>
      </c>
      <c r="N14" s="4" t="s">
        <v>713</v>
      </c>
      <c r="O14" s="8"/>
      <c r="P14" s="31"/>
    </row>
    <row r="15" spans="1:17" s="27" customFormat="1" ht="30.75" customHeight="1" outlineLevel="2" thickBot="1" x14ac:dyDescent="0.4">
      <c r="A15" s="30"/>
      <c r="B15" s="30"/>
      <c r="C15" s="28"/>
      <c r="D15" s="28" t="s">
        <v>714</v>
      </c>
      <c r="E15" s="4"/>
      <c r="F15" s="5"/>
      <c r="G15" s="6"/>
      <c r="H15" s="6"/>
      <c r="I15" s="6"/>
      <c r="J15" s="6"/>
      <c r="K15" s="6"/>
      <c r="L15" s="7"/>
      <c r="M15" s="53"/>
      <c r="N15" s="8"/>
      <c r="O15" s="8"/>
      <c r="P15" s="31"/>
    </row>
    <row r="16" spans="1:17" ht="20.25" customHeight="1" outlineLevel="1" thickBot="1" x14ac:dyDescent="0.4">
      <c r="C16" s="30"/>
      <c r="D16" s="30"/>
      <c r="E16" s="30"/>
      <c r="F16" s="30"/>
      <c r="G16" s="33"/>
      <c r="H16" s="33"/>
      <c r="I16" s="33"/>
      <c r="J16" s="33"/>
      <c r="K16" s="33"/>
      <c r="L16" s="33"/>
      <c r="M16" s="33"/>
      <c r="N16" s="33"/>
      <c r="O16" s="30"/>
      <c r="P16" s="30"/>
    </row>
    <row r="17" spans="1:16" ht="17.25" customHeight="1" thickBot="1" x14ac:dyDescent="0.4">
      <c r="C17" s="46" t="s">
        <v>677</v>
      </c>
      <c r="D17" s="39" t="s">
        <v>678</v>
      </c>
      <c r="E17" s="30"/>
      <c r="F17" s="30"/>
      <c r="G17" s="33"/>
      <c r="H17" s="33"/>
      <c r="I17" s="33"/>
      <c r="J17" s="33"/>
      <c r="K17" s="33"/>
      <c r="L17" s="33"/>
      <c r="M17" s="33"/>
      <c r="N17" s="33"/>
      <c r="O17" s="30"/>
      <c r="P17" s="30"/>
    </row>
    <row r="18" spans="1:16" s="25" customFormat="1" ht="36.75" customHeight="1" thickBot="1" x14ac:dyDescent="0.7">
      <c r="A18" s="30"/>
      <c r="B18" s="50" t="s">
        <v>679</v>
      </c>
      <c r="C18" s="45" t="s">
        <v>608</v>
      </c>
      <c r="D18" s="49" t="str">
        <f>VLOOKUP(C18,overview_of_services!$B$2:$I$123,3,FALSE)</f>
        <v>Inactivity recognition services</v>
      </c>
      <c r="E18" s="75"/>
      <c r="F18" s="80" t="s">
        <v>680</v>
      </c>
      <c r="G18" s="584" t="e">
        <f>VLOOKUP(C18,overview_of_services!$B$2:$I$88,2,FALSE)</f>
        <v>#N/A</v>
      </c>
      <c r="H18" s="584"/>
      <c r="I18" s="80"/>
      <c r="J18" s="24"/>
      <c r="K18" s="24"/>
      <c r="L18" s="24"/>
      <c r="M18" s="24"/>
      <c r="N18" s="24"/>
    </row>
    <row r="19" spans="1:16" ht="5.25" customHeight="1" x14ac:dyDescent="0.35">
      <c r="C19" s="35"/>
      <c r="D19" s="35"/>
      <c r="E19" s="35"/>
      <c r="F19" s="35"/>
      <c r="G19" s="35"/>
      <c r="H19" s="35"/>
      <c r="I19" s="35"/>
      <c r="J19" s="35"/>
      <c r="K19" s="35"/>
      <c r="L19" s="35"/>
      <c r="M19" s="35"/>
      <c r="N19" s="35"/>
      <c r="O19" s="35"/>
      <c r="P19" s="30"/>
    </row>
    <row r="20" spans="1:16" ht="20.25" customHeight="1" outlineLevel="1" x14ac:dyDescent="0.35">
      <c r="C20" s="590" t="s">
        <v>682</v>
      </c>
      <c r="D20" s="590"/>
      <c r="E20" s="585" t="s">
        <v>683</v>
      </c>
      <c r="F20" s="585"/>
      <c r="G20" s="585"/>
      <c r="H20" s="585"/>
      <c r="I20" s="585"/>
      <c r="J20" s="585"/>
      <c r="K20" s="585"/>
      <c r="L20" s="582" t="s">
        <v>684</v>
      </c>
      <c r="M20" s="583"/>
      <c r="N20" s="588" t="s">
        <v>685</v>
      </c>
      <c r="O20" s="586" t="s">
        <v>686</v>
      </c>
      <c r="P20" s="30"/>
    </row>
    <row r="21" spans="1:16" ht="36.75" customHeight="1" outlineLevel="1" thickBot="1" x14ac:dyDescent="0.4">
      <c r="C21" s="591"/>
      <c r="D21" s="591"/>
      <c r="E21" s="36" t="s">
        <v>687</v>
      </c>
      <c r="F21" s="36" t="s">
        <v>688</v>
      </c>
      <c r="G21" s="36" t="s">
        <v>689</v>
      </c>
      <c r="H21" s="36" t="s">
        <v>690</v>
      </c>
      <c r="I21" s="36" t="s">
        <v>616</v>
      </c>
      <c r="J21" s="36" t="s">
        <v>691</v>
      </c>
      <c r="K21" s="36" t="s">
        <v>692</v>
      </c>
      <c r="L21" s="52" t="s">
        <v>693</v>
      </c>
      <c r="M21" s="52" t="s">
        <v>694</v>
      </c>
      <c r="N21" s="589"/>
      <c r="O21" s="587"/>
      <c r="P21" s="30"/>
    </row>
    <row r="22" spans="1:16" s="27" customFormat="1" ht="35.25" customHeight="1" outlineLevel="1" thickTop="1" x14ac:dyDescent="0.35">
      <c r="A22" s="30"/>
      <c r="B22" s="30"/>
      <c r="C22" s="47" t="s">
        <v>695</v>
      </c>
      <c r="D22" s="29" t="str">
        <f>VLOOKUP(C18,overview_of_services!$B$2:$I$123,4,FALSE)</f>
        <v>none</v>
      </c>
      <c r="E22" s="76" t="s">
        <v>811</v>
      </c>
      <c r="F22" s="76" t="s">
        <v>811</v>
      </c>
      <c r="G22" s="76" t="s">
        <v>811</v>
      </c>
      <c r="H22" s="76" t="s">
        <v>811</v>
      </c>
      <c r="I22" s="76" t="s">
        <v>811</v>
      </c>
      <c r="J22" s="76" t="s">
        <v>811</v>
      </c>
      <c r="K22" s="76" t="s">
        <v>811</v>
      </c>
      <c r="L22" s="56" t="s">
        <v>696</v>
      </c>
      <c r="M22" s="56" t="s">
        <v>696</v>
      </c>
      <c r="N22" s="55">
        <v>0</v>
      </c>
      <c r="O22" s="54" t="s">
        <v>721</v>
      </c>
      <c r="P22" s="31"/>
    </row>
    <row r="23" spans="1:16" s="27" customFormat="1" ht="35.25" customHeight="1" outlineLevel="1" x14ac:dyDescent="0.35">
      <c r="A23" s="30"/>
      <c r="B23" s="30"/>
      <c r="C23" s="48" t="s">
        <v>699</v>
      </c>
      <c r="D23" s="1" t="str">
        <f>VLOOKUP(C18,overview_of_services!$B$2:$I$123,5,FALSE)</f>
        <v>building based (movement activation)</v>
      </c>
      <c r="E23" s="76" t="s">
        <v>811</v>
      </c>
      <c r="F23" s="76" t="s">
        <v>811</v>
      </c>
      <c r="G23" s="76" t="s">
        <v>811</v>
      </c>
      <c r="H23" s="76" t="s">
        <v>811</v>
      </c>
      <c r="I23" s="76" t="s">
        <v>811</v>
      </c>
      <c r="J23" s="76" t="s">
        <v>811</v>
      </c>
      <c r="K23" s="76" t="s">
        <v>811</v>
      </c>
      <c r="L23" s="56" t="s">
        <v>704</v>
      </c>
      <c r="M23" s="56" t="s">
        <v>704</v>
      </c>
      <c r="N23" s="55" t="s">
        <v>796</v>
      </c>
      <c r="O23" s="54" t="s">
        <v>721</v>
      </c>
      <c r="P23" s="31"/>
    </row>
    <row r="24" spans="1:16" s="27" customFormat="1" ht="35.25" customHeight="1" outlineLevel="1" x14ac:dyDescent="0.35">
      <c r="A24" s="30"/>
      <c r="B24" s="30"/>
      <c r="C24" s="48" t="s">
        <v>703</v>
      </c>
      <c r="D24" s="1" t="str">
        <f>VLOOKUP(C18,overview_of_services!$B$2:$I$123,6,FALSE)</f>
        <v>room based</v>
      </c>
      <c r="E24" s="76" t="s">
        <v>811</v>
      </c>
      <c r="F24" s="76" t="s">
        <v>811</v>
      </c>
      <c r="G24" s="76" t="s">
        <v>811</v>
      </c>
      <c r="H24" s="76" t="s">
        <v>811</v>
      </c>
      <c r="I24" s="76" t="s">
        <v>811</v>
      </c>
      <c r="J24" s="76" t="s">
        <v>811</v>
      </c>
      <c r="K24" s="76" t="s">
        <v>811</v>
      </c>
      <c r="L24" s="56" t="s">
        <v>799</v>
      </c>
      <c r="M24" s="56" t="s">
        <v>799</v>
      </c>
      <c r="N24" s="55" t="s">
        <v>796</v>
      </c>
      <c r="O24" s="54" t="s">
        <v>721</v>
      </c>
      <c r="P24" s="31"/>
    </row>
    <row r="25" spans="1:16" s="27" customFormat="1" ht="35.25" customHeight="1" outlineLevel="1" x14ac:dyDescent="0.35">
      <c r="A25" s="30"/>
      <c r="B25" s="30"/>
      <c r="C25" s="48" t="s">
        <v>706</v>
      </c>
      <c r="D25" s="1" t="str">
        <f>VLOOKUP(C18,overview_of_services!$B$2:$I$123,7,FALSE)</f>
        <v>electricity sensor based (behaviour)</v>
      </c>
      <c r="E25" s="76" t="s">
        <v>811</v>
      </c>
      <c r="F25" s="76" t="s">
        <v>811</v>
      </c>
      <c r="G25" s="76" t="s">
        <v>811</v>
      </c>
      <c r="H25" s="76" t="s">
        <v>811</v>
      </c>
      <c r="I25" s="76" t="s">
        <v>811</v>
      </c>
      <c r="J25" s="76" t="s">
        <v>811</v>
      </c>
      <c r="K25" s="76" t="s">
        <v>811</v>
      </c>
      <c r="L25" s="56" t="s">
        <v>697</v>
      </c>
      <c r="M25" s="56" t="s">
        <v>799</v>
      </c>
      <c r="N25" s="55" t="s">
        <v>796</v>
      </c>
      <c r="O25" s="54" t="s">
        <v>721</v>
      </c>
      <c r="P25" s="31"/>
    </row>
    <row r="26" spans="1:16" s="27" customFormat="1" ht="35.25" customHeight="1" outlineLevel="1" x14ac:dyDescent="0.35">
      <c r="A26" s="30"/>
      <c r="B26" s="30"/>
      <c r="C26" s="48" t="s">
        <v>710</v>
      </c>
      <c r="D26" s="1">
        <f>VLOOKUP(C18,overview_of_services!$B$2:$I$123,8,FALSE)</f>
        <v>0</v>
      </c>
      <c r="E26" s="51"/>
      <c r="F26" s="37"/>
      <c r="G26" s="51"/>
      <c r="H26" s="51"/>
      <c r="I26" s="37"/>
      <c r="J26" s="37"/>
      <c r="K26" s="37"/>
      <c r="L26" s="38" t="s">
        <v>721</v>
      </c>
      <c r="M26" s="38" t="s">
        <v>721</v>
      </c>
      <c r="N26" s="26" t="s">
        <v>721</v>
      </c>
      <c r="O26" s="34" t="s">
        <v>721</v>
      </c>
      <c r="P26" s="31"/>
    </row>
    <row r="27" spans="1:16" s="27" customFormat="1" ht="6" customHeight="1" outlineLevel="2" thickBot="1" x14ac:dyDescent="0.4">
      <c r="A27" s="30"/>
      <c r="B27" s="30"/>
      <c r="C27" s="31"/>
      <c r="D27" s="31"/>
      <c r="E27" s="32"/>
      <c r="F27" s="32"/>
      <c r="G27" s="32"/>
      <c r="H27" s="32"/>
      <c r="I27" s="32"/>
      <c r="J27" s="32"/>
      <c r="K27" s="32"/>
      <c r="L27" s="31"/>
      <c r="M27" s="31"/>
      <c r="N27" s="31"/>
      <c r="O27" s="31"/>
      <c r="P27" s="31"/>
    </row>
    <row r="28" spans="1:16" s="27" customFormat="1" ht="30.75" customHeight="1" outlineLevel="2" thickBot="1" x14ac:dyDescent="0.4">
      <c r="A28" s="30"/>
      <c r="B28" s="30"/>
      <c r="C28" s="28"/>
      <c r="D28" s="28" t="s">
        <v>712</v>
      </c>
      <c r="E28" s="4" t="s">
        <v>713</v>
      </c>
      <c r="F28" s="4" t="s">
        <v>713</v>
      </c>
      <c r="G28" s="4" t="s">
        <v>713</v>
      </c>
      <c r="H28" s="4" t="s">
        <v>713</v>
      </c>
      <c r="I28" s="4" t="s">
        <v>713</v>
      </c>
      <c r="J28" s="4" t="s">
        <v>713</v>
      </c>
      <c r="K28" s="4" t="s">
        <v>713</v>
      </c>
      <c r="L28" s="4" t="s">
        <v>713</v>
      </c>
      <c r="M28" s="4" t="s">
        <v>713</v>
      </c>
      <c r="N28" s="4" t="s">
        <v>713</v>
      </c>
      <c r="O28" s="8"/>
      <c r="P28" s="31"/>
    </row>
    <row r="29" spans="1:16" s="27" customFormat="1" ht="30.75" customHeight="1" outlineLevel="2" thickBot="1" x14ac:dyDescent="0.4">
      <c r="A29" s="30"/>
      <c r="B29" s="30"/>
      <c r="C29" s="28"/>
      <c r="D29" s="28" t="s">
        <v>714</v>
      </c>
      <c r="E29" s="4"/>
      <c r="F29" s="5"/>
      <c r="G29" s="6"/>
      <c r="H29" s="6"/>
      <c r="I29" s="6"/>
      <c r="J29" s="6"/>
      <c r="K29" s="6"/>
      <c r="L29" s="7"/>
      <c r="M29" s="53"/>
      <c r="N29" s="8"/>
      <c r="O29" s="8"/>
      <c r="P29" s="31"/>
    </row>
    <row r="30" spans="1:16" ht="20.25" customHeight="1" outlineLevel="1" thickBot="1" x14ac:dyDescent="0.4">
      <c r="C30" s="30"/>
      <c r="D30" s="30"/>
      <c r="E30" s="30"/>
      <c r="F30" s="30"/>
      <c r="G30" s="33"/>
      <c r="H30" s="33"/>
      <c r="I30" s="33"/>
      <c r="J30" s="33"/>
      <c r="K30" s="33"/>
      <c r="L30" s="33"/>
      <c r="M30" s="33"/>
      <c r="N30" s="33"/>
      <c r="O30" s="30"/>
      <c r="P30" s="30"/>
    </row>
    <row r="31" spans="1:16" ht="17.25" customHeight="1" thickBot="1" x14ac:dyDescent="0.4">
      <c r="C31" s="46" t="s">
        <v>677</v>
      </c>
      <c r="D31" s="39" t="s">
        <v>678</v>
      </c>
      <c r="E31" s="30"/>
      <c r="F31" s="30"/>
      <c r="G31" s="33"/>
      <c r="H31" s="33"/>
      <c r="I31" s="33"/>
      <c r="J31" s="33"/>
      <c r="K31" s="33"/>
      <c r="L31" s="33"/>
      <c r="M31" s="33"/>
      <c r="N31" s="33"/>
      <c r="O31" s="30"/>
      <c r="P31" s="30"/>
    </row>
    <row r="32" spans="1:16" s="25" customFormat="1" ht="36.75" customHeight="1" thickBot="1" x14ac:dyDescent="0.7">
      <c r="A32" s="30"/>
      <c r="B32" s="50" t="s">
        <v>679</v>
      </c>
      <c r="C32" s="45" t="s">
        <v>613</v>
      </c>
      <c r="D32" s="49" t="str">
        <f>VLOOKUP(C32,overview_of_services!$B$2:$I$123,3,FALSE)</f>
        <v>Multi-tenant access control for buildings without keys</v>
      </c>
      <c r="E32" s="75"/>
      <c r="F32" s="80" t="s">
        <v>680</v>
      </c>
      <c r="G32" s="584" t="e">
        <f>VLOOKUP(C32,overview_of_services!$B$2:$I$88,2,FALSE)</f>
        <v>#N/A</v>
      </c>
      <c r="H32" s="584"/>
      <c r="I32" s="80"/>
      <c r="J32" s="24"/>
      <c r="K32" s="24"/>
      <c r="L32" s="24"/>
      <c r="M32" s="24"/>
      <c r="N32" s="24"/>
    </row>
    <row r="33" spans="1:16" ht="5.25" customHeight="1" x14ac:dyDescent="0.35">
      <c r="C33" s="35"/>
      <c r="D33" s="35"/>
      <c r="E33" s="35"/>
      <c r="F33" s="35"/>
      <c r="G33" s="35"/>
      <c r="H33" s="35"/>
      <c r="I33" s="35"/>
      <c r="J33" s="35"/>
      <c r="K33" s="35"/>
      <c r="L33" s="35"/>
      <c r="M33" s="35"/>
      <c r="N33" s="35"/>
      <c r="O33" s="35"/>
      <c r="P33" s="30"/>
    </row>
    <row r="34" spans="1:16" ht="20.25" customHeight="1" outlineLevel="1" x14ac:dyDescent="0.35">
      <c r="C34" s="590" t="s">
        <v>682</v>
      </c>
      <c r="D34" s="590"/>
      <c r="E34" s="585" t="s">
        <v>683</v>
      </c>
      <c r="F34" s="585"/>
      <c r="G34" s="585"/>
      <c r="H34" s="585"/>
      <c r="I34" s="585"/>
      <c r="J34" s="585"/>
      <c r="K34" s="585"/>
      <c r="L34" s="582" t="s">
        <v>684</v>
      </c>
      <c r="M34" s="583"/>
      <c r="N34" s="588" t="s">
        <v>685</v>
      </c>
      <c r="O34" s="586" t="s">
        <v>686</v>
      </c>
      <c r="P34" s="30"/>
    </row>
    <row r="35" spans="1:16" ht="36.75" customHeight="1" outlineLevel="1" thickBot="1" x14ac:dyDescent="0.4">
      <c r="C35" s="591"/>
      <c r="D35" s="591"/>
      <c r="E35" s="36" t="s">
        <v>687</v>
      </c>
      <c r="F35" s="36" t="s">
        <v>688</v>
      </c>
      <c r="G35" s="36" t="s">
        <v>689</v>
      </c>
      <c r="H35" s="36" t="s">
        <v>690</v>
      </c>
      <c r="I35" s="36" t="s">
        <v>616</v>
      </c>
      <c r="J35" s="36" t="s">
        <v>691</v>
      </c>
      <c r="K35" s="36" t="s">
        <v>692</v>
      </c>
      <c r="L35" s="52" t="s">
        <v>693</v>
      </c>
      <c r="M35" s="52" t="s">
        <v>694</v>
      </c>
      <c r="N35" s="589"/>
      <c r="O35" s="587"/>
      <c r="P35" s="30"/>
    </row>
    <row r="36" spans="1:16" s="27" customFormat="1" ht="35.25" customHeight="1" outlineLevel="1" thickTop="1" x14ac:dyDescent="0.35">
      <c r="A36" s="30"/>
      <c r="B36" s="30"/>
      <c r="C36" s="47" t="s">
        <v>695</v>
      </c>
      <c r="D36" s="29" t="str">
        <f>VLOOKUP(C32,overview_of_services!$B$2:$I$123,4,FALSE)</f>
        <v>none</v>
      </c>
      <c r="E36" s="76" t="s">
        <v>811</v>
      </c>
      <c r="F36" s="76" t="s">
        <v>811</v>
      </c>
      <c r="G36" s="76" t="s">
        <v>811</v>
      </c>
      <c r="H36" s="76" t="s">
        <v>811</v>
      </c>
      <c r="I36" s="76" t="s">
        <v>811</v>
      </c>
      <c r="J36" s="76" t="s">
        <v>811</v>
      </c>
      <c r="K36" s="76" t="s">
        <v>811</v>
      </c>
      <c r="L36" s="56" t="s">
        <v>696</v>
      </c>
      <c r="M36" s="56" t="s">
        <v>696</v>
      </c>
      <c r="N36" s="55">
        <v>0</v>
      </c>
      <c r="O36" s="54" t="s">
        <v>721</v>
      </c>
      <c r="P36" s="31"/>
    </row>
    <row r="37" spans="1:16" s="27" customFormat="1" ht="35.25" customHeight="1" outlineLevel="1" x14ac:dyDescent="0.35">
      <c r="A37" s="30"/>
      <c r="B37" s="30"/>
      <c r="C37" s="48" t="s">
        <v>699</v>
      </c>
      <c r="D37" s="1" t="str">
        <f>VLOOKUP(C32,overview_of_services!$B$2:$I$123,5,FALSE)</f>
        <v>mobile based</v>
      </c>
      <c r="E37" s="76" t="s">
        <v>811</v>
      </c>
      <c r="F37" s="76" t="s">
        <v>811</v>
      </c>
      <c r="G37" s="76" t="s">
        <v>811</v>
      </c>
      <c r="H37" s="76" t="s">
        <v>811</v>
      </c>
      <c r="I37" s="76" t="s">
        <v>811</v>
      </c>
      <c r="J37" s="76" t="s">
        <v>811</v>
      </c>
      <c r="K37" s="76" t="s">
        <v>811</v>
      </c>
      <c r="L37" s="56" t="s">
        <v>797</v>
      </c>
      <c r="M37" s="56" t="s">
        <v>697</v>
      </c>
      <c r="N37" s="55" t="s">
        <v>794</v>
      </c>
      <c r="O37" s="54" t="s">
        <v>721</v>
      </c>
      <c r="P37" s="31"/>
    </row>
    <row r="38" spans="1:16" s="27" customFormat="1" ht="35.25" customHeight="1" outlineLevel="1" x14ac:dyDescent="0.35">
      <c r="A38" s="30"/>
      <c r="B38" s="30"/>
      <c r="C38" s="48" t="s">
        <v>703</v>
      </c>
      <c r="D38" s="1" t="str">
        <f>VLOOKUP(C32,overview_of_services!$B$2:$I$123,6,FALSE)</f>
        <v>RFID based</v>
      </c>
      <c r="E38" s="76" t="s">
        <v>811</v>
      </c>
      <c r="F38" s="76" t="s">
        <v>811</v>
      </c>
      <c r="G38" s="76" t="s">
        <v>811</v>
      </c>
      <c r="H38" s="76" t="s">
        <v>811</v>
      </c>
      <c r="I38" s="76" t="s">
        <v>811</v>
      </c>
      <c r="J38" s="76" t="s">
        <v>811</v>
      </c>
      <c r="K38" s="76" t="s">
        <v>811</v>
      </c>
      <c r="L38" s="56" t="s">
        <v>797</v>
      </c>
      <c r="M38" s="56" t="s">
        <v>799</v>
      </c>
      <c r="N38" s="55" t="s">
        <v>794</v>
      </c>
      <c r="O38" s="54" t="s">
        <v>721</v>
      </c>
      <c r="P38" s="31"/>
    </row>
    <row r="39" spans="1:16" s="27" customFormat="1" ht="35.25" customHeight="1" outlineLevel="1" x14ac:dyDescent="0.35">
      <c r="A39" s="30"/>
      <c r="B39" s="30"/>
      <c r="C39" s="48" t="s">
        <v>706</v>
      </c>
      <c r="D39" s="1">
        <f>VLOOKUP(C32,overview_of_services!$B$2:$I$123,7,FALSE)</f>
        <v>0</v>
      </c>
      <c r="E39" s="76" t="s">
        <v>811</v>
      </c>
      <c r="F39" s="76" t="s">
        <v>811</v>
      </c>
      <c r="G39" s="76" t="s">
        <v>811</v>
      </c>
      <c r="H39" s="76" t="s">
        <v>811</v>
      </c>
      <c r="I39" s="76" t="s">
        <v>811</v>
      </c>
      <c r="J39" s="76" t="s">
        <v>811</v>
      </c>
      <c r="K39" s="76" t="s">
        <v>811</v>
      </c>
      <c r="L39" s="38" t="s">
        <v>721</v>
      </c>
      <c r="M39" s="38" t="s">
        <v>721</v>
      </c>
      <c r="N39" s="26" t="s">
        <v>721</v>
      </c>
      <c r="O39" s="34" t="s">
        <v>721</v>
      </c>
      <c r="P39" s="31"/>
    </row>
    <row r="40" spans="1:16" s="27" customFormat="1" ht="35.25" customHeight="1" outlineLevel="1" x14ac:dyDescent="0.35">
      <c r="A40" s="30"/>
      <c r="B40" s="30"/>
      <c r="C40" s="48" t="s">
        <v>710</v>
      </c>
      <c r="D40" s="1">
        <f>VLOOKUP(C32,overview_of_services!$B$2:$I$123,8,FALSE)</f>
        <v>0</v>
      </c>
      <c r="E40" s="51"/>
      <c r="F40" s="37"/>
      <c r="G40" s="51"/>
      <c r="H40" s="51"/>
      <c r="I40" s="37"/>
      <c r="J40" s="37"/>
      <c r="K40" s="37"/>
      <c r="L40" s="38" t="s">
        <v>721</v>
      </c>
      <c r="M40" s="38" t="s">
        <v>721</v>
      </c>
      <c r="N40" s="26" t="s">
        <v>721</v>
      </c>
      <c r="O40" s="34" t="s">
        <v>721</v>
      </c>
      <c r="P40" s="31"/>
    </row>
    <row r="41" spans="1:16" s="27" customFormat="1" ht="6" customHeight="1" outlineLevel="2" thickBot="1" x14ac:dyDescent="0.4">
      <c r="A41" s="30"/>
      <c r="B41" s="30"/>
      <c r="C41" s="31"/>
      <c r="D41" s="31"/>
      <c r="E41" s="32"/>
      <c r="F41" s="32"/>
      <c r="G41" s="32"/>
      <c r="H41" s="32"/>
      <c r="I41" s="32"/>
      <c r="J41" s="32"/>
      <c r="K41" s="32"/>
      <c r="L41" s="31"/>
      <c r="M41" s="31"/>
      <c r="N41" s="31"/>
      <c r="O41" s="31"/>
      <c r="P41" s="31"/>
    </row>
    <row r="42" spans="1:16" s="27" customFormat="1" ht="30.75" customHeight="1" outlineLevel="2" thickBot="1" x14ac:dyDescent="0.4">
      <c r="A42" s="30"/>
      <c r="B42" s="30"/>
      <c r="C42" s="28"/>
      <c r="D42" s="28" t="s">
        <v>712</v>
      </c>
      <c r="E42" s="4" t="s">
        <v>713</v>
      </c>
      <c r="F42" s="4" t="s">
        <v>713</v>
      </c>
      <c r="G42" s="4" t="s">
        <v>713</v>
      </c>
      <c r="H42" s="4" t="s">
        <v>713</v>
      </c>
      <c r="I42" s="4" t="s">
        <v>713</v>
      </c>
      <c r="J42" s="4" t="s">
        <v>713</v>
      </c>
      <c r="K42" s="4" t="s">
        <v>713</v>
      </c>
      <c r="L42" s="4" t="s">
        <v>713</v>
      </c>
      <c r="M42" s="4" t="s">
        <v>713</v>
      </c>
      <c r="N42" s="4" t="s">
        <v>713</v>
      </c>
      <c r="O42" s="8"/>
      <c r="P42" s="31"/>
    </row>
    <row r="43" spans="1:16" s="27" customFormat="1" ht="30.75" customHeight="1" outlineLevel="2" thickBot="1" x14ac:dyDescent="0.4">
      <c r="A43" s="30"/>
      <c r="B43" s="30"/>
      <c r="C43" s="28"/>
      <c r="D43" s="28" t="s">
        <v>714</v>
      </c>
      <c r="E43" s="4"/>
      <c r="F43" s="5"/>
      <c r="G43" s="6"/>
      <c r="H43" s="6"/>
      <c r="I43" s="6"/>
      <c r="J43" s="6"/>
      <c r="K43" s="6"/>
      <c r="L43" s="7"/>
      <c r="M43" s="53"/>
      <c r="N43" s="8"/>
      <c r="O43" s="8"/>
      <c r="P43" s="31"/>
    </row>
    <row r="44" spans="1:16" ht="20.25" customHeight="1" outlineLevel="1" thickBot="1" x14ac:dyDescent="0.4">
      <c r="C44" s="30"/>
      <c r="D44" s="30"/>
      <c r="E44" s="30"/>
      <c r="F44" s="30"/>
      <c r="G44" s="33"/>
      <c r="H44" s="33"/>
      <c r="I44" s="33"/>
      <c r="J44" s="33"/>
      <c r="K44" s="33"/>
      <c r="L44" s="33"/>
      <c r="M44" s="33"/>
      <c r="N44" s="33"/>
      <c r="O44" s="30"/>
      <c r="P44" s="30"/>
    </row>
    <row r="45" spans="1:16" ht="17.25" customHeight="1" thickBot="1" x14ac:dyDescent="0.4">
      <c r="C45" s="46" t="s">
        <v>677</v>
      </c>
      <c r="D45" s="39" t="s">
        <v>678</v>
      </c>
      <c r="E45" s="30"/>
      <c r="F45" s="30"/>
      <c r="G45" s="33"/>
      <c r="H45" s="33"/>
      <c r="I45" s="33"/>
      <c r="J45" s="33"/>
      <c r="K45" s="33"/>
      <c r="L45" s="33"/>
      <c r="M45" s="33"/>
      <c r="N45" s="33"/>
      <c r="O45" s="30"/>
      <c r="P45" s="30"/>
    </row>
    <row r="46" spans="1:16" s="25" customFormat="1" ht="36.75" customHeight="1" thickBot="1" x14ac:dyDescent="0.7">
      <c r="A46" s="30"/>
      <c r="B46" s="50" t="s">
        <v>679</v>
      </c>
      <c r="C46" s="45" t="s">
        <v>615</v>
      </c>
      <c r="D46" s="49" t="str">
        <f>VLOOKUP(C46,overview_of_services!$B$2:$I$123,3,FALSE)</f>
        <v>Occupants Wellbeing and health status monitoring services</v>
      </c>
      <c r="E46" s="75"/>
      <c r="F46" s="80" t="s">
        <v>680</v>
      </c>
      <c r="G46" s="584" t="e">
        <f>VLOOKUP(C46,overview_of_services!$B$2:$I$88,2,FALSE)</f>
        <v>#N/A</v>
      </c>
      <c r="H46" s="584"/>
      <c r="I46" s="80"/>
      <c r="J46" s="24"/>
      <c r="K46" s="24"/>
      <c r="L46" s="24"/>
      <c r="M46" s="24"/>
      <c r="N46" s="24"/>
    </row>
    <row r="47" spans="1:16" ht="5.25" customHeight="1" x14ac:dyDescent="0.35">
      <c r="C47" s="35"/>
      <c r="D47" s="35"/>
      <c r="E47" s="35"/>
      <c r="F47" s="35"/>
      <c r="G47" s="35"/>
      <c r="H47" s="35"/>
      <c r="I47" s="35"/>
      <c r="J47" s="35"/>
      <c r="K47" s="35"/>
      <c r="L47" s="35"/>
      <c r="M47" s="35"/>
      <c r="N47" s="35"/>
      <c r="O47" s="35"/>
      <c r="P47" s="30"/>
    </row>
    <row r="48" spans="1:16" ht="20.25" customHeight="1" outlineLevel="1" x14ac:dyDescent="0.35">
      <c r="C48" s="590" t="s">
        <v>682</v>
      </c>
      <c r="D48" s="590"/>
      <c r="E48" s="585" t="s">
        <v>683</v>
      </c>
      <c r="F48" s="585"/>
      <c r="G48" s="585"/>
      <c r="H48" s="585"/>
      <c r="I48" s="585"/>
      <c r="J48" s="585"/>
      <c r="K48" s="585"/>
      <c r="L48" s="582" t="s">
        <v>684</v>
      </c>
      <c r="M48" s="583"/>
      <c r="N48" s="588" t="s">
        <v>685</v>
      </c>
      <c r="O48" s="586" t="s">
        <v>686</v>
      </c>
      <c r="P48" s="30"/>
    </row>
    <row r="49" spans="1:16" ht="36.75" customHeight="1" outlineLevel="1" thickBot="1" x14ac:dyDescent="0.4">
      <c r="C49" s="591"/>
      <c r="D49" s="591"/>
      <c r="E49" s="36" t="s">
        <v>687</v>
      </c>
      <c r="F49" s="36" t="s">
        <v>688</v>
      </c>
      <c r="G49" s="36" t="s">
        <v>689</v>
      </c>
      <c r="H49" s="36" t="s">
        <v>690</v>
      </c>
      <c r="I49" s="36" t="s">
        <v>616</v>
      </c>
      <c r="J49" s="36" t="s">
        <v>691</v>
      </c>
      <c r="K49" s="36" t="s">
        <v>692</v>
      </c>
      <c r="L49" s="52" t="s">
        <v>693</v>
      </c>
      <c r="M49" s="52" t="s">
        <v>694</v>
      </c>
      <c r="N49" s="589"/>
      <c r="O49" s="587"/>
      <c r="P49" s="30"/>
    </row>
    <row r="50" spans="1:16" s="27" customFormat="1" ht="35.25" customHeight="1" outlineLevel="1" thickTop="1" x14ac:dyDescent="0.35">
      <c r="A50" s="30"/>
      <c r="B50" s="30"/>
      <c r="C50" s="47" t="s">
        <v>695</v>
      </c>
      <c r="D50" s="29" t="str">
        <f>VLOOKUP(C46,overview_of_services!$B$2:$I$123,4,FALSE)</f>
        <v>none</v>
      </c>
      <c r="E50" s="76" t="s">
        <v>811</v>
      </c>
      <c r="F50" s="76" t="s">
        <v>811</v>
      </c>
      <c r="G50" s="76" t="s">
        <v>811</v>
      </c>
      <c r="H50" s="76" t="s">
        <v>811</v>
      </c>
      <c r="I50" s="76" t="s">
        <v>811</v>
      </c>
      <c r="J50" s="76" t="s">
        <v>811</v>
      </c>
      <c r="K50" s="76" t="s">
        <v>811</v>
      </c>
      <c r="L50" s="56" t="s">
        <v>696</v>
      </c>
      <c r="M50" s="56" t="s">
        <v>696</v>
      </c>
      <c r="N50" s="55">
        <v>0</v>
      </c>
      <c r="O50" s="54" t="s">
        <v>721</v>
      </c>
      <c r="P50" s="31"/>
    </row>
    <row r="51" spans="1:16" s="27" customFormat="1" ht="35.25" customHeight="1" outlineLevel="1" x14ac:dyDescent="0.35">
      <c r="A51" s="30"/>
      <c r="B51" s="30"/>
      <c r="C51" s="48" t="s">
        <v>699</v>
      </c>
      <c r="D51" s="1" t="str">
        <f>VLOOKUP(C46,overview_of_services!$B$2:$I$123,5,FALSE)</f>
        <v>Functionality levels to be defined</v>
      </c>
      <c r="E51" s="76" t="s">
        <v>811</v>
      </c>
      <c r="F51" s="76" t="s">
        <v>811</v>
      </c>
      <c r="G51" s="76" t="s">
        <v>811</v>
      </c>
      <c r="H51" s="76" t="s">
        <v>811</v>
      </c>
      <c r="I51" s="76" t="s">
        <v>811</v>
      </c>
      <c r="J51" s="76" t="s">
        <v>811</v>
      </c>
      <c r="K51" s="76" t="s">
        <v>811</v>
      </c>
      <c r="L51" s="56" t="s">
        <v>797</v>
      </c>
      <c r="M51" s="56" t="s">
        <v>797</v>
      </c>
      <c r="N51" s="55" t="s">
        <v>796</v>
      </c>
      <c r="O51" s="54" t="s">
        <v>721</v>
      </c>
      <c r="P51" s="31"/>
    </row>
    <row r="52" spans="1:16" s="27" customFormat="1" ht="35.25" customHeight="1" outlineLevel="1" x14ac:dyDescent="0.35">
      <c r="A52" s="30"/>
      <c r="B52" s="30"/>
      <c r="C52" s="48" t="s">
        <v>703</v>
      </c>
      <c r="D52" s="1" t="str">
        <f>VLOOKUP(C46,overview_of_services!$B$2:$I$123,6,FALSE)</f>
        <v>Functionality levels to be defined</v>
      </c>
      <c r="E52" s="76" t="s">
        <v>811</v>
      </c>
      <c r="F52" s="76" t="s">
        <v>811</v>
      </c>
      <c r="G52" s="76" t="s">
        <v>811</v>
      </c>
      <c r="H52" s="76" t="s">
        <v>811</v>
      </c>
      <c r="I52" s="76" t="s">
        <v>811</v>
      </c>
      <c r="J52" s="76" t="s">
        <v>811</v>
      </c>
      <c r="K52" s="76" t="s">
        <v>811</v>
      </c>
      <c r="L52" s="56" t="s">
        <v>797</v>
      </c>
      <c r="M52" s="56" t="s">
        <v>797</v>
      </c>
      <c r="N52" s="55" t="s">
        <v>796</v>
      </c>
      <c r="O52" s="54" t="s">
        <v>721</v>
      </c>
      <c r="P52" s="31"/>
    </row>
    <row r="53" spans="1:16" s="27" customFormat="1" ht="35.25" customHeight="1" outlineLevel="1" x14ac:dyDescent="0.35">
      <c r="A53" s="30"/>
      <c r="B53" s="30"/>
      <c r="C53" s="48" t="s">
        <v>706</v>
      </c>
      <c r="D53" s="1">
        <f>VLOOKUP(C46,overview_of_services!$B$2:$I$123,7,FALSE)</f>
        <v>0</v>
      </c>
      <c r="E53" s="76" t="s">
        <v>811</v>
      </c>
      <c r="F53" s="76" t="s">
        <v>811</v>
      </c>
      <c r="G53" s="76" t="s">
        <v>811</v>
      </c>
      <c r="H53" s="76" t="s">
        <v>811</v>
      </c>
      <c r="I53" s="76" t="s">
        <v>811</v>
      </c>
      <c r="J53" s="76" t="s">
        <v>811</v>
      </c>
      <c r="K53" s="76" t="s">
        <v>811</v>
      </c>
      <c r="L53" s="38" t="s">
        <v>721</v>
      </c>
      <c r="M53" s="38" t="s">
        <v>721</v>
      </c>
      <c r="N53" s="26" t="s">
        <v>721</v>
      </c>
      <c r="O53" s="34" t="s">
        <v>721</v>
      </c>
      <c r="P53" s="31"/>
    </row>
    <row r="54" spans="1:16" s="27" customFormat="1" ht="35.25" customHeight="1" outlineLevel="1" x14ac:dyDescent="0.35">
      <c r="A54" s="30"/>
      <c r="B54" s="30"/>
      <c r="C54" s="48" t="s">
        <v>710</v>
      </c>
      <c r="D54" s="1">
        <f>VLOOKUP(C46,overview_of_services!$B$2:$I$123,8,FALSE)</f>
        <v>0</v>
      </c>
      <c r="E54" s="51"/>
      <c r="F54" s="37"/>
      <c r="G54" s="51"/>
      <c r="H54" s="51"/>
      <c r="I54" s="37"/>
      <c r="J54" s="37"/>
      <c r="K54" s="37"/>
      <c r="L54" s="38" t="s">
        <v>721</v>
      </c>
      <c r="M54" s="38" t="s">
        <v>721</v>
      </c>
      <c r="N54" s="26" t="s">
        <v>721</v>
      </c>
      <c r="O54" s="34" t="s">
        <v>721</v>
      </c>
      <c r="P54" s="31"/>
    </row>
    <row r="55" spans="1:16" s="27" customFormat="1" ht="6" customHeight="1" outlineLevel="2" thickBot="1" x14ac:dyDescent="0.4">
      <c r="A55" s="30"/>
      <c r="B55" s="30"/>
      <c r="C55" s="31"/>
      <c r="D55" s="31"/>
      <c r="E55" s="32"/>
      <c r="F55" s="32"/>
      <c r="G55" s="32"/>
      <c r="H55" s="32"/>
      <c r="I55" s="32"/>
      <c r="J55" s="32"/>
      <c r="K55" s="32"/>
      <c r="L55" s="31"/>
      <c r="M55" s="31"/>
      <c r="N55" s="31"/>
      <c r="O55" s="31"/>
      <c r="P55" s="31"/>
    </row>
    <row r="56" spans="1:16" s="27" customFormat="1" ht="30.75" customHeight="1" outlineLevel="2" thickBot="1" x14ac:dyDescent="0.4">
      <c r="A56" s="30"/>
      <c r="B56" s="30"/>
      <c r="C56" s="28"/>
      <c r="D56" s="28" t="s">
        <v>712</v>
      </c>
      <c r="E56" s="4" t="s">
        <v>713</v>
      </c>
      <c r="F56" s="4" t="s">
        <v>713</v>
      </c>
      <c r="G56" s="4" t="s">
        <v>713</v>
      </c>
      <c r="H56" s="4" t="s">
        <v>713</v>
      </c>
      <c r="I56" s="4" t="s">
        <v>713</v>
      </c>
      <c r="J56" s="4" t="s">
        <v>713</v>
      </c>
      <c r="K56" s="4" t="s">
        <v>713</v>
      </c>
      <c r="L56" s="4" t="s">
        <v>713</v>
      </c>
      <c r="M56" s="4" t="s">
        <v>713</v>
      </c>
      <c r="N56" s="4" t="s">
        <v>713</v>
      </c>
      <c r="O56" s="8"/>
      <c r="P56" s="31"/>
    </row>
    <row r="57" spans="1:16" s="27" customFormat="1" ht="30.75" customHeight="1" outlineLevel="2" thickBot="1" x14ac:dyDescent="0.4">
      <c r="A57" s="30"/>
      <c r="B57" s="30"/>
      <c r="C57" s="28"/>
      <c r="D57" s="28" t="s">
        <v>714</v>
      </c>
      <c r="E57" s="4"/>
      <c r="F57" s="5"/>
      <c r="G57" s="6"/>
      <c r="H57" s="6"/>
      <c r="I57" s="6"/>
      <c r="J57" s="6"/>
      <c r="K57" s="6"/>
      <c r="L57" s="7"/>
      <c r="M57" s="53"/>
      <c r="N57" s="8"/>
      <c r="O57" s="8"/>
      <c r="P57" s="31"/>
    </row>
    <row r="58" spans="1:16" ht="20.25" customHeight="1" outlineLevel="1" thickBot="1" x14ac:dyDescent="0.4">
      <c r="C58" s="30"/>
      <c r="D58" s="30"/>
      <c r="E58" s="30"/>
      <c r="F58" s="30"/>
      <c r="G58" s="33"/>
      <c r="H58" s="33"/>
      <c r="I58" s="33"/>
      <c r="J58" s="33"/>
      <c r="K58" s="33"/>
      <c r="L58" s="33"/>
      <c r="M58" s="33"/>
      <c r="N58" s="33"/>
      <c r="O58" s="30"/>
      <c r="P58" s="30"/>
    </row>
    <row r="59" spans="1:16" ht="17.25" customHeight="1" thickBot="1" x14ac:dyDescent="0.4">
      <c r="C59" s="46" t="s">
        <v>677</v>
      </c>
      <c r="D59" s="39" t="s">
        <v>678</v>
      </c>
      <c r="E59" s="30"/>
      <c r="F59" s="30"/>
      <c r="G59" s="33"/>
      <c r="H59" s="33"/>
      <c r="I59" s="33"/>
      <c r="J59" s="33"/>
      <c r="K59" s="33"/>
      <c r="L59" s="33"/>
      <c r="M59" s="33"/>
      <c r="N59" s="33"/>
      <c r="O59" s="30"/>
      <c r="P59" s="30"/>
    </row>
    <row r="60" spans="1:16" s="25" customFormat="1" ht="36.75" customHeight="1" thickBot="1" x14ac:dyDescent="0.7">
      <c r="A60" s="30"/>
      <c r="B60" s="50" t="s">
        <v>679</v>
      </c>
      <c r="C60" s="45" t="s">
        <v>619</v>
      </c>
      <c r="D60" s="49" t="str">
        <f>VLOOKUP(C60,overview_of_services!$B$2:$I$123,3,FALSE)</f>
        <v>Dementia monitoring</v>
      </c>
      <c r="E60" s="75"/>
      <c r="F60" s="80" t="s">
        <v>680</v>
      </c>
      <c r="G60" s="584" t="e">
        <f>VLOOKUP(C60,overview_of_services!$B$2:$I$88,2,FALSE)</f>
        <v>#N/A</v>
      </c>
      <c r="H60" s="584"/>
      <c r="I60" s="80"/>
      <c r="J60" s="24"/>
      <c r="K60" s="24"/>
      <c r="L60" s="24"/>
      <c r="M60" s="24"/>
      <c r="N60" s="24"/>
    </row>
    <row r="61" spans="1:16" ht="5.25" customHeight="1" x14ac:dyDescent="0.35">
      <c r="C61" s="35"/>
      <c r="D61" s="35"/>
      <c r="E61" s="35"/>
      <c r="F61" s="35"/>
      <c r="G61" s="35"/>
      <c r="H61" s="35"/>
      <c r="I61" s="35"/>
      <c r="J61" s="35"/>
      <c r="K61" s="35"/>
      <c r="L61" s="35"/>
      <c r="M61" s="35"/>
      <c r="N61" s="35"/>
      <c r="O61" s="35"/>
      <c r="P61" s="30"/>
    </row>
    <row r="62" spans="1:16" ht="20.25" customHeight="1" outlineLevel="1" x14ac:dyDescent="0.35">
      <c r="C62" s="590" t="s">
        <v>682</v>
      </c>
      <c r="D62" s="590"/>
      <c r="E62" s="585" t="s">
        <v>683</v>
      </c>
      <c r="F62" s="585"/>
      <c r="G62" s="585"/>
      <c r="H62" s="585"/>
      <c r="I62" s="585"/>
      <c r="J62" s="585"/>
      <c r="K62" s="585"/>
      <c r="L62" s="582" t="s">
        <v>684</v>
      </c>
      <c r="M62" s="583"/>
      <c r="N62" s="588" t="s">
        <v>685</v>
      </c>
      <c r="O62" s="586" t="s">
        <v>686</v>
      </c>
      <c r="P62" s="30"/>
    </row>
    <row r="63" spans="1:16" ht="36.75" customHeight="1" outlineLevel="1" thickBot="1" x14ac:dyDescent="0.4">
      <c r="C63" s="591"/>
      <c r="D63" s="591"/>
      <c r="E63" s="36" t="s">
        <v>687</v>
      </c>
      <c r="F63" s="36" t="s">
        <v>688</v>
      </c>
      <c r="G63" s="36" t="s">
        <v>689</v>
      </c>
      <c r="H63" s="36" t="s">
        <v>690</v>
      </c>
      <c r="I63" s="36" t="s">
        <v>616</v>
      </c>
      <c r="J63" s="36" t="s">
        <v>691</v>
      </c>
      <c r="K63" s="36" t="s">
        <v>692</v>
      </c>
      <c r="L63" s="52" t="s">
        <v>693</v>
      </c>
      <c r="M63" s="52" t="s">
        <v>694</v>
      </c>
      <c r="N63" s="589"/>
      <c r="O63" s="587"/>
      <c r="P63" s="30"/>
    </row>
    <row r="64" spans="1:16" s="27" customFormat="1" ht="35.25" customHeight="1" outlineLevel="1" thickTop="1" x14ac:dyDescent="0.35">
      <c r="A64" s="30"/>
      <c r="B64" s="30"/>
      <c r="C64" s="47" t="s">
        <v>695</v>
      </c>
      <c r="D64" s="29" t="str">
        <f>VLOOKUP(C60,overview_of_services!$B$2:$I$123,4,FALSE)</f>
        <v>none</v>
      </c>
      <c r="E64" s="76" t="s">
        <v>811</v>
      </c>
      <c r="F64" s="76" t="s">
        <v>811</v>
      </c>
      <c r="G64" s="76" t="s">
        <v>811</v>
      </c>
      <c r="H64" s="76" t="s">
        <v>811</v>
      </c>
      <c r="I64" s="76" t="s">
        <v>811</v>
      </c>
      <c r="J64" s="76" t="s">
        <v>811</v>
      </c>
      <c r="K64" s="76" t="s">
        <v>811</v>
      </c>
      <c r="L64" s="56" t="s">
        <v>696</v>
      </c>
      <c r="M64" s="56" t="s">
        <v>696</v>
      </c>
      <c r="N64" s="55">
        <v>0</v>
      </c>
      <c r="O64" s="54" t="s">
        <v>721</v>
      </c>
      <c r="P64" s="31"/>
    </row>
    <row r="65" spans="1:16" s="27" customFormat="1" ht="35.25" customHeight="1" outlineLevel="1" x14ac:dyDescent="0.35">
      <c r="A65" s="30"/>
      <c r="B65" s="30"/>
      <c r="C65" s="48" t="s">
        <v>699</v>
      </c>
      <c r="D65" s="1" t="str">
        <f>VLOOKUP(C60,overview_of_services!$B$2:$I$123,5,FALSE)</f>
        <v>Functionality levels to be defined, e.g. Appliance monitoring with alarms</v>
      </c>
      <c r="E65" s="76" t="s">
        <v>811</v>
      </c>
      <c r="F65" s="76" t="s">
        <v>811</v>
      </c>
      <c r="G65" s="76" t="s">
        <v>811</v>
      </c>
      <c r="H65" s="76" t="s">
        <v>811</v>
      </c>
      <c r="I65" s="76" t="s">
        <v>811</v>
      </c>
      <c r="J65" s="76" t="s">
        <v>811</v>
      </c>
      <c r="K65" s="76" t="s">
        <v>811</v>
      </c>
      <c r="L65" s="56" t="s">
        <v>799</v>
      </c>
      <c r="M65" s="56" t="s">
        <v>700</v>
      </c>
      <c r="N65" s="55" t="s">
        <v>794</v>
      </c>
      <c r="O65" s="54" t="s">
        <v>721</v>
      </c>
      <c r="P65" s="31"/>
    </row>
    <row r="66" spans="1:16" s="27" customFormat="1" ht="35.25" customHeight="1" outlineLevel="1" x14ac:dyDescent="0.35">
      <c r="A66" s="30"/>
      <c r="B66" s="30"/>
      <c r="C66" s="48" t="s">
        <v>703</v>
      </c>
      <c r="D66" s="1" t="str">
        <f>VLOOKUP(C60,overview_of_services!$B$2:$I$123,6,FALSE)</f>
        <v>Functionality levels to be defined, e.g. Appliance and person monitoring</v>
      </c>
      <c r="E66" s="76" t="s">
        <v>811</v>
      </c>
      <c r="F66" s="76" t="s">
        <v>811</v>
      </c>
      <c r="G66" s="76" t="s">
        <v>811</v>
      </c>
      <c r="H66" s="76" t="s">
        <v>811</v>
      </c>
      <c r="I66" s="76" t="s">
        <v>811</v>
      </c>
      <c r="J66" s="76" t="s">
        <v>811</v>
      </c>
      <c r="K66" s="76" t="s">
        <v>811</v>
      </c>
      <c r="L66" s="56" t="s">
        <v>799</v>
      </c>
      <c r="M66" s="56" t="s">
        <v>700</v>
      </c>
      <c r="N66" s="55" t="s">
        <v>794</v>
      </c>
      <c r="O66" s="54" t="s">
        <v>721</v>
      </c>
      <c r="P66" s="31"/>
    </row>
    <row r="67" spans="1:16" s="27" customFormat="1" ht="35.25" customHeight="1" outlineLevel="1" x14ac:dyDescent="0.35">
      <c r="A67" s="30"/>
      <c r="B67" s="30"/>
      <c r="C67" s="48" t="s">
        <v>706</v>
      </c>
      <c r="D67" s="1">
        <f>VLOOKUP(C60,overview_of_services!$B$2:$I$123,7,FALSE)</f>
        <v>0</v>
      </c>
      <c r="E67" s="76" t="s">
        <v>811</v>
      </c>
      <c r="F67" s="76" t="s">
        <v>811</v>
      </c>
      <c r="G67" s="76" t="s">
        <v>811</v>
      </c>
      <c r="H67" s="76" t="s">
        <v>811</v>
      </c>
      <c r="I67" s="76" t="s">
        <v>811</v>
      </c>
      <c r="J67" s="76" t="s">
        <v>811</v>
      </c>
      <c r="K67" s="76" t="s">
        <v>811</v>
      </c>
      <c r="L67" s="56" t="s">
        <v>799</v>
      </c>
      <c r="M67" s="56" t="s">
        <v>700</v>
      </c>
      <c r="N67" s="55" t="s">
        <v>794</v>
      </c>
      <c r="O67" s="54" t="s">
        <v>721</v>
      </c>
      <c r="P67" s="31"/>
    </row>
    <row r="68" spans="1:16" s="27" customFormat="1" ht="35.25" customHeight="1" outlineLevel="1" x14ac:dyDescent="0.35">
      <c r="A68" s="30"/>
      <c r="B68" s="30"/>
      <c r="C68" s="48" t="s">
        <v>710</v>
      </c>
      <c r="D68" s="1">
        <f>VLOOKUP(C60,overview_of_services!$B$2:$I$123,8,FALSE)</f>
        <v>0</v>
      </c>
      <c r="E68" s="51"/>
      <c r="F68" s="37"/>
      <c r="G68" s="51"/>
      <c r="H68" s="51"/>
      <c r="I68" s="37"/>
      <c r="J68" s="37"/>
      <c r="K68" s="37"/>
      <c r="L68" s="38" t="s">
        <v>721</v>
      </c>
      <c r="M68" s="38" t="s">
        <v>721</v>
      </c>
      <c r="N68" s="26" t="s">
        <v>721</v>
      </c>
      <c r="O68" s="34" t="s">
        <v>721</v>
      </c>
      <c r="P68" s="31"/>
    </row>
    <row r="69" spans="1:16" s="27" customFormat="1" ht="6" customHeight="1" outlineLevel="2" thickBot="1" x14ac:dyDescent="0.4">
      <c r="A69" s="30"/>
      <c r="B69" s="30"/>
      <c r="C69" s="31"/>
      <c r="D69" s="31"/>
      <c r="E69" s="32"/>
      <c r="F69" s="32"/>
      <c r="G69" s="32"/>
      <c r="H69" s="32"/>
      <c r="I69" s="32"/>
      <c r="J69" s="32"/>
      <c r="K69" s="32"/>
      <c r="L69" s="31"/>
      <c r="M69" s="31"/>
      <c r="N69" s="31"/>
      <c r="O69" s="31"/>
      <c r="P69" s="31"/>
    </row>
    <row r="70" spans="1:16" s="27" customFormat="1" ht="30.75" customHeight="1" outlineLevel="2" thickBot="1" x14ac:dyDescent="0.4">
      <c r="A70" s="30"/>
      <c r="B70" s="30"/>
      <c r="C70" s="28"/>
      <c r="D70" s="28" t="s">
        <v>712</v>
      </c>
      <c r="E70" s="4" t="s">
        <v>713</v>
      </c>
      <c r="F70" s="4" t="s">
        <v>713</v>
      </c>
      <c r="G70" s="4" t="s">
        <v>713</v>
      </c>
      <c r="H70" s="4" t="s">
        <v>713</v>
      </c>
      <c r="I70" s="4" t="s">
        <v>713</v>
      </c>
      <c r="J70" s="4" t="s">
        <v>713</v>
      </c>
      <c r="K70" s="4" t="s">
        <v>713</v>
      </c>
      <c r="L70" s="4" t="s">
        <v>713</v>
      </c>
      <c r="M70" s="4" t="s">
        <v>713</v>
      </c>
      <c r="N70" s="4" t="s">
        <v>713</v>
      </c>
      <c r="O70" s="8"/>
      <c r="P70" s="31"/>
    </row>
    <row r="71" spans="1:16" s="27" customFormat="1" ht="30.75" customHeight="1" outlineLevel="2" thickBot="1" x14ac:dyDescent="0.4">
      <c r="A71" s="30"/>
      <c r="B71" s="30"/>
      <c r="C71" s="28"/>
      <c r="D71" s="28" t="s">
        <v>714</v>
      </c>
      <c r="E71" s="4"/>
      <c r="F71" s="5"/>
      <c r="G71" s="6"/>
      <c r="H71" s="6"/>
      <c r="I71" s="6"/>
      <c r="J71" s="6"/>
      <c r="K71" s="6"/>
      <c r="L71" s="7"/>
      <c r="M71" s="53"/>
      <c r="N71" s="8"/>
      <c r="O71" s="8"/>
      <c r="P71" s="31"/>
    </row>
    <row r="72" spans="1:16" ht="20.25" customHeight="1" outlineLevel="1" x14ac:dyDescent="0.35">
      <c r="C72" s="30"/>
      <c r="D72" s="30"/>
      <c r="E72" s="30"/>
      <c r="F72" s="30"/>
      <c r="G72" s="33"/>
      <c r="H72" s="33"/>
      <c r="I72" s="33"/>
      <c r="J72" s="33"/>
      <c r="K72" s="33"/>
      <c r="L72" s="33"/>
      <c r="M72" s="33"/>
      <c r="N72" s="33"/>
      <c r="O72" s="30"/>
      <c r="P72" s="30"/>
    </row>
    <row r="73" spans="1:16" ht="15" thickBot="1" x14ac:dyDescent="0.4">
      <c r="C73" s="30"/>
      <c r="D73" s="30"/>
      <c r="E73" s="30"/>
      <c r="F73" s="30"/>
      <c r="G73" s="33"/>
      <c r="H73" s="33"/>
      <c r="I73" s="33"/>
      <c r="J73" s="33"/>
      <c r="K73" s="33"/>
      <c r="L73" s="33"/>
      <c r="M73" s="33"/>
      <c r="N73" s="33"/>
      <c r="O73" s="30"/>
      <c r="P73" s="30"/>
    </row>
    <row r="74" spans="1:16" ht="15" thickBot="1" x14ac:dyDescent="0.4">
      <c r="C74" s="46" t="s">
        <v>677</v>
      </c>
      <c r="D74" s="39" t="s">
        <v>678</v>
      </c>
      <c r="E74" s="30"/>
      <c r="F74" s="30"/>
      <c r="G74" s="33"/>
      <c r="H74" s="33"/>
      <c r="I74" s="33"/>
      <c r="J74" s="33"/>
      <c r="K74" s="33"/>
      <c r="L74" s="33"/>
      <c r="M74" s="33"/>
      <c r="N74" s="33"/>
      <c r="O74" s="30"/>
      <c r="P74" s="30"/>
    </row>
    <row r="75" spans="1:16" ht="29" thickBot="1" x14ac:dyDescent="0.7">
      <c r="B75" s="50" t="s">
        <v>679</v>
      </c>
      <c r="C75" s="45" t="s">
        <v>623</v>
      </c>
      <c r="D75" s="49" t="str">
        <f>VLOOKUP(C75,overview_of_services!$B$2:$I$123,3,FALSE)</f>
        <v>Rain water Collection</v>
      </c>
      <c r="E75" s="75"/>
      <c r="F75" s="80" t="s">
        <v>680</v>
      </c>
      <c r="G75" s="584" t="e">
        <f>VLOOKUP(C75,overview_of_services!$B$2:$I$88,2,FALSE)</f>
        <v>#N/A</v>
      </c>
      <c r="H75" s="584"/>
      <c r="I75" s="80"/>
      <c r="J75" s="24"/>
      <c r="K75" s="24"/>
      <c r="L75" s="24"/>
      <c r="M75" s="24"/>
      <c r="N75" s="24"/>
      <c r="O75" s="25"/>
      <c r="P75" s="25"/>
    </row>
    <row r="76" spans="1:16" x14ac:dyDescent="0.35">
      <c r="C76" s="35"/>
      <c r="D76" s="35"/>
      <c r="E76" s="35"/>
      <c r="F76" s="35"/>
      <c r="G76" s="35"/>
      <c r="H76" s="35"/>
      <c r="I76" s="35"/>
      <c r="J76" s="35"/>
      <c r="K76" s="35"/>
      <c r="L76" s="35"/>
      <c r="M76" s="35"/>
      <c r="N76" s="35"/>
      <c r="O76" s="35"/>
      <c r="P76" s="30"/>
    </row>
    <row r="77" spans="1:16" x14ac:dyDescent="0.35">
      <c r="C77" s="590" t="s">
        <v>682</v>
      </c>
      <c r="D77" s="590"/>
      <c r="E77" s="585" t="s">
        <v>683</v>
      </c>
      <c r="F77" s="585"/>
      <c r="G77" s="585"/>
      <c r="H77" s="585"/>
      <c r="I77" s="585"/>
      <c r="J77" s="585"/>
      <c r="K77" s="585"/>
      <c r="L77" s="582" t="s">
        <v>684</v>
      </c>
      <c r="M77" s="583"/>
      <c r="N77" s="588" t="s">
        <v>685</v>
      </c>
      <c r="O77" s="586" t="s">
        <v>686</v>
      </c>
      <c r="P77" s="30"/>
    </row>
    <row r="78" spans="1:16" ht="29.5" thickBot="1" x14ac:dyDescent="0.4">
      <c r="C78" s="591"/>
      <c r="D78" s="591"/>
      <c r="E78" s="36" t="s">
        <v>687</v>
      </c>
      <c r="F78" s="36" t="s">
        <v>688</v>
      </c>
      <c r="G78" s="36" t="s">
        <v>689</v>
      </c>
      <c r="H78" s="36" t="s">
        <v>690</v>
      </c>
      <c r="I78" s="36" t="s">
        <v>616</v>
      </c>
      <c r="J78" s="36" t="s">
        <v>691</v>
      </c>
      <c r="K78" s="36" t="s">
        <v>692</v>
      </c>
      <c r="L78" s="52" t="s">
        <v>693</v>
      </c>
      <c r="M78" s="52" t="s">
        <v>694</v>
      </c>
      <c r="N78" s="589"/>
      <c r="O78" s="587"/>
      <c r="P78" s="30"/>
    </row>
    <row r="79" spans="1:16" ht="21.5" thickTop="1" x14ac:dyDescent="0.35">
      <c r="C79" s="47" t="s">
        <v>695</v>
      </c>
      <c r="D79" s="29" t="str">
        <f>VLOOKUP(C75,overview_of_services!$B$2:$I$123,4,FALSE)</f>
        <v>none</v>
      </c>
      <c r="E79" s="76" t="s">
        <v>811</v>
      </c>
      <c r="F79" s="76" t="s">
        <v>811</v>
      </c>
      <c r="G79" s="76" t="s">
        <v>811</v>
      </c>
      <c r="H79" s="76" t="s">
        <v>811</v>
      </c>
      <c r="I79" s="76" t="s">
        <v>811</v>
      </c>
      <c r="J79" s="76" t="s">
        <v>811</v>
      </c>
      <c r="K79" s="76" t="s">
        <v>811</v>
      </c>
      <c r="L79" s="56" t="s">
        <v>696</v>
      </c>
      <c r="M79" s="56" t="s">
        <v>696</v>
      </c>
      <c r="N79" s="55">
        <v>0</v>
      </c>
      <c r="O79" s="34" t="s">
        <v>721</v>
      </c>
      <c r="P79" s="31"/>
    </row>
    <row r="80" spans="1:16" ht="21" x14ac:dyDescent="0.35">
      <c r="C80" s="48" t="s">
        <v>699</v>
      </c>
      <c r="D80" s="1" t="str">
        <f>VLOOKUP(C75,overview_of_services!$B$2:$I$123,5,FALSE)</f>
        <v>reducing sewage network prevent overflows</v>
      </c>
      <c r="E80" s="76" t="s">
        <v>811</v>
      </c>
      <c r="F80" s="76" t="s">
        <v>811</v>
      </c>
      <c r="G80" s="76" t="s">
        <v>811</v>
      </c>
      <c r="H80" s="76" t="s">
        <v>811</v>
      </c>
      <c r="I80" s="76" t="s">
        <v>811</v>
      </c>
      <c r="J80" s="76" t="s">
        <v>811</v>
      </c>
      <c r="K80" s="76" t="s">
        <v>811</v>
      </c>
      <c r="L80" s="56" t="s">
        <v>721</v>
      </c>
      <c r="M80" s="56" t="s">
        <v>721</v>
      </c>
      <c r="N80" s="55" t="s">
        <v>721</v>
      </c>
      <c r="O80" s="34" t="s">
        <v>721</v>
      </c>
      <c r="P80" s="31"/>
    </row>
    <row r="81" spans="2:16" ht="21" x14ac:dyDescent="0.35">
      <c r="C81" s="48" t="s">
        <v>703</v>
      </c>
      <c r="D81" s="1" t="str">
        <f>VLOOKUP(C75,overview_of_services!$B$2:$I$123,6,FALSE)</f>
        <v>Re-use to prevent waste fo freshwater resources</v>
      </c>
      <c r="E81" s="76" t="s">
        <v>811</v>
      </c>
      <c r="F81" s="76" t="s">
        <v>811</v>
      </c>
      <c r="G81" s="76" t="s">
        <v>811</v>
      </c>
      <c r="H81" s="76" t="s">
        <v>811</v>
      </c>
      <c r="I81" s="76" t="s">
        <v>811</v>
      </c>
      <c r="J81" s="76" t="s">
        <v>811</v>
      </c>
      <c r="K81" s="76" t="s">
        <v>811</v>
      </c>
      <c r="L81" s="56" t="s">
        <v>721</v>
      </c>
      <c r="M81" s="56" t="s">
        <v>721</v>
      </c>
      <c r="N81" s="55" t="s">
        <v>721</v>
      </c>
      <c r="O81" s="34" t="s">
        <v>721</v>
      </c>
      <c r="P81" s="31"/>
    </row>
    <row r="82" spans="2:16" ht="21" x14ac:dyDescent="0.35">
      <c r="C82" s="48" t="s">
        <v>706</v>
      </c>
      <c r="D82" s="1">
        <f>VLOOKUP(C75,overview_of_services!$B$2:$I$123,7,FALSE)</f>
        <v>0</v>
      </c>
      <c r="E82" s="37" t="s">
        <v>721</v>
      </c>
      <c r="F82" s="37" t="s">
        <v>721</v>
      </c>
      <c r="G82" s="37" t="s">
        <v>721</v>
      </c>
      <c r="H82" s="37" t="s">
        <v>721</v>
      </c>
      <c r="I82" s="37" t="s">
        <v>721</v>
      </c>
      <c r="J82" s="37" t="s">
        <v>721</v>
      </c>
      <c r="K82" s="37" t="s">
        <v>721</v>
      </c>
      <c r="L82" s="38" t="s">
        <v>721</v>
      </c>
      <c r="M82" s="38" t="s">
        <v>721</v>
      </c>
      <c r="N82" s="26" t="s">
        <v>721</v>
      </c>
      <c r="O82" s="34" t="s">
        <v>721</v>
      </c>
      <c r="P82" s="31"/>
    </row>
    <row r="83" spans="2:16" ht="21" x14ac:dyDescent="0.35">
      <c r="C83" s="48" t="s">
        <v>710</v>
      </c>
      <c r="D83" s="1">
        <f>VLOOKUP(C75,overview_of_services!$B$2:$I$123,8,FALSE)</f>
        <v>0</v>
      </c>
      <c r="E83" s="51"/>
      <c r="F83" s="37"/>
      <c r="G83" s="51"/>
      <c r="H83" s="51"/>
      <c r="I83" s="37"/>
      <c r="J83" s="37"/>
      <c r="K83" s="37"/>
      <c r="L83" s="38" t="s">
        <v>721</v>
      </c>
      <c r="M83" s="38" t="s">
        <v>721</v>
      </c>
      <c r="N83" s="26" t="s">
        <v>721</v>
      </c>
      <c r="O83" s="34" t="s">
        <v>721</v>
      </c>
      <c r="P83" s="31"/>
    </row>
    <row r="84" spans="2:16" ht="15" thickBot="1" x14ac:dyDescent="0.4">
      <c r="C84" s="31"/>
      <c r="D84" s="31"/>
      <c r="E84" s="32"/>
      <c r="F84" s="32"/>
      <c r="G84" s="32"/>
      <c r="H84" s="32"/>
      <c r="I84" s="32"/>
      <c r="J84" s="32"/>
      <c r="K84" s="32"/>
      <c r="L84" s="31"/>
      <c r="M84" s="31"/>
      <c r="N84" s="31"/>
      <c r="O84" s="31"/>
      <c r="P84" s="31"/>
    </row>
    <row r="85" spans="2:16" ht="15" thickBot="1" x14ac:dyDescent="0.4">
      <c r="C85" s="28"/>
      <c r="D85" s="28" t="s">
        <v>712</v>
      </c>
      <c r="E85" s="4" t="s">
        <v>713</v>
      </c>
      <c r="F85" s="4" t="s">
        <v>713</v>
      </c>
      <c r="G85" s="4" t="s">
        <v>713</v>
      </c>
      <c r="H85" s="4" t="s">
        <v>713</v>
      </c>
      <c r="I85" s="4" t="s">
        <v>713</v>
      </c>
      <c r="J85" s="4" t="s">
        <v>713</v>
      </c>
      <c r="K85" s="4" t="s">
        <v>713</v>
      </c>
      <c r="L85" s="4" t="s">
        <v>713</v>
      </c>
      <c r="M85" s="4" t="s">
        <v>713</v>
      </c>
      <c r="N85" s="4" t="s">
        <v>713</v>
      </c>
      <c r="O85" s="8"/>
      <c r="P85" s="31"/>
    </row>
    <row r="86" spans="2:16" ht="15" thickBot="1" x14ac:dyDescent="0.4">
      <c r="C86" s="28"/>
      <c r="D86" s="28" t="s">
        <v>714</v>
      </c>
      <c r="E86" s="4"/>
      <c r="F86" s="5"/>
      <c r="G86" s="6"/>
      <c r="H86" s="6"/>
      <c r="I86" s="6"/>
      <c r="J86" s="6"/>
      <c r="K86" s="6"/>
      <c r="L86" s="7"/>
      <c r="M86" s="53"/>
      <c r="N86" s="8"/>
      <c r="O86" s="8"/>
      <c r="P86" s="31"/>
    </row>
    <row r="87" spans="2:16" ht="15" thickBot="1" x14ac:dyDescent="0.4">
      <c r="C87" s="30"/>
      <c r="D87" s="30"/>
      <c r="E87" s="30"/>
      <c r="F87" s="30"/>
      <c r="G87" s="33"/>
      <c r="H87" s="33"/>
      <c r="I87" s="33"/>
      <c r="J87" s="33"/>
      <c r="K87" s="33"/>
      <c r="L87" s="33"/>
      <c r="M87" s="33"/>
      <c r="N87" s="33"/>
      <c r="O87" s="30"/>
      <c r="P87" s="30"/>
    </row>
    <row r="88" spans="2:16" ht="15" thickBot="1" x14ac:dyDescent="0.4">
      <c r="C88" s="46" t="s">
        <v>677</v>
      </c>
      <c r="D88" s="39" t="s">
        <v>678</v>
      </c>
      <c r="E88" s="30"/>
      <c r="F88" s="30"/>
      <c r="G88" s="33"/>
      <c r="H88" s="33"/>
      <c r="I88" s="33"/>
      <c r="J88" s="33"/>
      <c r="K88" s="33"/>
      <c r="L88" s="33"/>
      <c r="M88" s="33"/>
      <c r="N88" s="33"/>
      <c r="O88" s="30"/>
      <c r="P88" s="30"/>
    </row>
    <row r="89" spans="2:16" ht="29" thickBot="1" x14ac:dyDescent="0.7">
      <c r="B89" s="50" t="s">
        <v>679</v>
      </c>
      <c r="C89" s="45" t="s">
        <v>627</v>
      </c>
      <c r="D89" s="49" t="str">
        <f>VLOOKUP(C89,overview_of_services!$B$2:$I$123,3,FALSE)</f>
        <v>Smoke detection</v>
      </c>
      <c r="E89" s="75"/>
      <c r="F89" s="80" t="s">
        <v>680</v>
      </c>
      <c r="G89" s="584" t="e">
        <f>VLOOKUP(C89,overview_of_services!$B$2:$I$88,2,FALSE)</f>
        <v>#N/A</v>
      </c>
      <c r="H89" s="584"/>
      <c r="I89" s="80"/>
      <c r="J89" s="24"/>
      <c r="K89" s="24"/>
      <c r="L89" s="24"/>
      <c r="M89" s="24"/>
      <c r="N89" s="24"/>
      <c r="O89" s="25"/>
      <c r="P89" s="25"/>
    </row>
    <row r="90" spans="2:16" x14ac:dyDescent="0.35">
      <c r="C90" s="35"/>
      <c r="D90" s="35"/>
      <c r="E90" s="35"/>
      <c r="F90" s="35"/>
      <c r="G90" s="35"/>
      <c r="H90" s="35"/>
      <c r="I90" s="35"/>
      <c r="J90" s="35"/>
      <c r="K90" s="35"/>
      <c r="L90" s="35"/>
      <c r="M90" s="35"/>
      <c r="N90" s="35"/>
      <c r="O90" s="35"/>
      <c r="P90" s="30"/>
    </row>
    <row r="91" spans="2:16" x14ac:dyDescent="0.35">
      <c r="C91" s="590" t="s">
        <v>682</v>
      </c>
      <c r="D91" s="590"/>
      <c r="E91" s="585" t="s">
        <v>683</v>
      </c>
      <c r="F91" s="585"/>
      <c r="G91" s="585"/>
      <c r="H91" s="585"/>
      <c r="I91" s="585"/>
      <c r="J91" s="585"/>
      <c r="K91" s="585"/>
      <c r="L91" s="582" t="s">
        <v>684</v>
      </c>
      <c r="M91" s="583"/>
      <c r="N91" s="588" t="s">
        <v>685</v>
      </c>
      <c r="O91" s="586" t="s">
        <v>686</v>
      </c>
      <c r="P91" s="30"/>
    </row>
    <row r="92" spans="2:16" ht="29.5" thickBot="1" x14ac:dyDescent="0.4">
      <c r="C92" s="591"/>
      <c r="D92" s="591"/>
      <c r="E92" s="36" t="s">
        <v>687</v>
      </c>
      <c r="F92" s="36" t="s">
        <v>688</v>
      </c>
      <c r="G92" s="36" t="s">
        <v>689</v>
      </c>
      <c r="H92" s="36" t="s">
        <v>690</v>
      </c>
      <c r="I92" s="36" t="s">
        <v>616</v>
      </c>
      <c r="J92" s="36" t="s">
        <v>691</v>
      </c>
      <c r="K92" s="36" t="s">
        <v>692</v>
      </c>
      <c r="L92" s="52" t="s">
        <v>693</v>
      </c>
      <c r="M92" s="52" t="s">
        <v>694</v>
      </c>
      <c r="N92" s="589"/>
      <c r="O92" s="587"/>
      <c r="P92" s="30"/>
    </row>
    <row r="93" spans="2:16" ht="21.5" thickTop="1" x14ac:dyDescent="0.35">
      <c r="C93" s="47" t="s">
        <v>695</v>
      </c>
      <c r="D93" s="29" t="str">
        <f>VLOOKUP(C89,overview_of_services!$B$2:$I$123,4,FALSE)</f>
        <v>no smoke detection</v>
      </c>
      <c r="E93" s="76" t="s">
        <v>811</v>
      </c>
      <c r="F93" s="76" t="s">
        <v>811</v>
      </c>
      <c r="G93" s="76" t="s">
        <v>811</v>
      </c>
      <c r="H93" s="76" t="s">
        <v>811</v>
      </c>
      <c r="I93" s="76" t="s">
        <v>811</v>
      </c>
      <c r="J93" s="76" t="s">
        <v>811</v>
      </c>
      <c r="K93" s="76" t="s">
        <v>811</v>
      </c>
      <c r="L93" s="56" t="s">
        <v>696</v>
      </c>
      <c r="M93" s="56" t="s">
        <v>696</v>
      </c>
      <c r="N93" s="55">
        <v>0</v>
      </c>
      <c r="O93" s="34" t="s">
        <v>721</v>
      </c>
      <c r="P93" s="31"/>
    </row>
    <row r="94" spans="2:16" ht="21" x14ac:dyDescent="0.35">
      <c r="C94" s="48" t="s">
        <v>699</v>
      </c>
      <c r="D94" s="1" t="str">
        <f>VLOOKUP(C89,overview_of_services!$B$2:$I$123,5,FALSE)</f>
        <v>smoke detectors</v>
      </c>
      <c r="E94" s="76" t="s">
        <v>811</v>
      </c>
      <c r="F94" s="76" t="s">
        <v>811</v>
      </c>
      <c r="G94" s="76" t="s">
        <v>811</v>
      </c>
      <c r="H94" s="76" t="s">
        <v>811</v>
      </c>
      <c r="I94" s="76" t="s">
        <v>811</v>
      </c>
      <c r="J94" s="76" t="s">
        <v>811</v>
      </c>
      <c r="K94" s="76" t="s">
        <v>811</v>
      </c>
      <c r="L94" s="56" t="s">
        <v>721</v>
      </c>
      <c r="M94" s="56" t="s">
        <v>721</v>
      </c>
      <c r="N94" s="55" t="s">
        <v>721</v>
      </c>
      <c r="O94" s="34" t="s">
        <v>721</v>
      </c>
      <c r="P94" s="31"/>
    </row>
    <row r="95" spans="2:16" ht="21" x14ac:dyDescent="0.35">
      <c r="C95" s="48" t="s">
        <v>703</v>
      </c>
      <c r="D95" s="1" t="str">
        <f>VLOOKUP(C89,overview_of_services!$B$2:$I$123,6,FALSE)</f>
        <v>smoke detectors, cross-linked</v>
      </c>
      <c r="E95" s="76" t="s">
        <v>811</v>
      </c>
      <c r="F95" s="76" t="s">
        <v>811</v>
      </c>
      <c r="G95" s="76" t="s">
        <v>811</v>
      </c>
      <c r="H95" s="76" t="s">
        <v>811</v>
      </c>
      <c r="I95" s="76" t="s">
        <v>811</v>
      </c>
      <c r="J95" s="76" t="s">
        <v>811</v>
      </c>
      <c r="K95" s="76" t="s">
        <v>811</v>
      </c>
      <c r="L95" s="38" t="s">
        <v>721</v>
      </c>
      <c r="M95" s="38" t="s">
        <v>721</v>
      </c>
      <c r="N95" s="26" t="s">
        <v>721</v>
      </c>
      <c r="O95" s="34" t="s">
        <v>721</v>
      </c>
      <c r="P95" s="31"/>
    </row>
    <row r="96" spans="2:16" ht="21" x14ac:dyDescent="0.35">
      <c r="C96" s="48" t="s">
        <v>706</v>
      </c>
      <c r="D96" s="1">
        <f>VLOOKUP(C89,overview_of_services!$B$2:$I$123,7,FALSE)</f>
        <v>0</v>
      </c>
      <c r="E96" s="37" t="s">
        <v>721</v>
      </c>
      <c r="F96" s="37" t="s">
        <v>721</v>
      </c>
      <c r="G96" s="37" t="s">
        <v>721</v>
      </c>
      <c r="H96" s="37" t="s">
        <v>721</v>
      </c>
      <c r="I96" s="37" t="s">
        <v>721</v>
      </c>
      <c r="J96" s="37" t="s">
        <v>721</v>
      </c>
      <c r="K96" s="37" t="s">
        <v>721</v>
      </c>
      <c r="L96" s="38" t="s">
        <v>721</v>
      </c>
      <c r="M96" s="38" t="s">
        <v>721</v>
      </c>
      <c r="N96" s="26" t="s">
        <v>721</v>
      </c>
      <c r="O96" s="34" t="s">
        <v>721</v>
      </c>
      <c r="P96" s="31"/>
    </row>
    <row r="97" spans="2:16" ht="21" x14ac:dyDescent="0.35">
      <c r="C97" s="48" t="s">
        <v>710</v>
      </c>
      <c r="D97" s="1">
        <f>VLOOKUP(C89,overview_of_services!$B$2:$I$123,8,FALSE)</f>
        <v>0</v>
      </c>
      <c r="E97" s="51"/>
      <c r="F97" s="37"/>
      <c r="G97" s="51"/>
      <c r="H97" s="51"/>
      <c r="I97" s="37"/>
      <c r="J97" s="37"/>
      <c r="K97" s="37"/>
      <c r="L97" s="38" t="s">
        <v>721</v>
      </c>
      <c r="M97" s="38" t="s">
        <v>721</v>
      </c>
      <c r="N97" s="26" t="s">
        <v>721</v>
      </c>
      <c r="O97" s="34" t="s">
        <v>721</v>
      </c>
      <c r="P97" s="31"/>
    </row>
    <row r="98" spans="2:16" ht="15" thickBot="1" x14ac:dyDescent="0.4">
      <c r="C98" s="31"/>
      <c r="D98" s="31"/>
      <c r="E98" s="32"/>
      <c r="F98" s="32"/>
      <c r="G98" s="32"/>
      <c r="H98" s="32"/>
      <c r="I98" s="32"/>
      <c r="J98" s="32"/>
      <c r="K98" s="32"/>
      <c r="L98" s="31"/>
      <c r="M98" s="31"/>
      <c r="N98" s="31"/>
      <c r="O98" s="31"/>
      <c r="P98" s="31"/>
    </row>
    <row r="99" spans="2:16" ht="15" thickBot="1" x14ac:dyDescent="0.4">
      <c r="C99" s="28"/>
      <c r="D99" s="28" t="s">
        <v>712</v>
      </c>
      <c r="E99" s="4" t="s">
        <v>713</v>
      </c>
      <c r="F99" s="4" t="s">
        <v>713</v>
      </c>
      <c r="G99" s="4" t="s">
        <v>713</v>
      </c>
      <c r="H99" s="4" t="s">
        <v>713</v>
      </c>
      <c r="I99" s="4" t="s">
        <v>713</v>
      </c>
      <c r="J99" s="4" t="s">
        <v>713</v>
      </c>
      <c r="K99" s="4" t="s">
        <v>713</v>
      </c>
      <c r="L99" s="4" t="s">
        <v>713</v>
      </c>
      <c r="M99" s="4" t="s">
        <v>713</v>
      </c>
      <c r="N99" s="4" t="s">
        <v>713</v>
      </c>
      <c r="O99" s="8"/>
      <c r="P99" s="31"/>
    </row>
    <row r="100" spans="2:16" ht="15" thickBot="1" x14ac:dyDescent="0.4">
      <c r="C100" s="28"/>
      <c r="D100" s="28" t="s">
        <v>714</v>
      </c>
      <c r="E100" s="4"/>
      <c r="F100" s="5"/>
      <c r="G100" s="6"/>
      <c r="H100" s="6"/>
      <c r="I100" s="6"/>
      <c r="J100" s="6"/>
      <c r="K100" s="6"/>
      <c r="L100" s="7"/>
      <c r="M100" s="53"/>
      <c r="N100" s="8"/>
      <c r="O100" s="8"/>
      <c r="P100" s="31"/>
    </row>
    <row r="101" spans="2:16" ht="15" thickBot="1" x14ac:dyDescent="0.4">
      <c r="C101" s="30"/>
      <c r="D101" s="30"/>
      <c r="E101" s="30"/>
      <c r="F101" s="30"/>
      <c r="G101" s="33"/>
      <c r="H101" s="33"/>
      <c r="I101" s="33"/>
      <c r="J101" s="33"/>
      <c r="K101" s="33"/>
      <c r="L101" s="33"/>
      <c r="M101" s="33"/>
      <c r="N101" s="33"/>
      <c r="O101" s="30"/>
      <c r="P101" s="30"/>
    </row>
    <row r="102" spans="2:16" ht="15" thickBot="1" x14ac:dyDescent="0.4">
      <c r="C102" s="46" t="s">
        <v>677</v>
      </c>
      <c r="D102" s="39" t="s">
        <v>678</v>
      </c>
      <c r="E102" s="30"/>
      <c r="F102" s="30"/>
      <c r="G102" s="33"/>
      <c r="H102" s="33"/>
      <c r="I102" s="33"/>
      <c r="J102" s="33"/>
      <c r="K102" s="33"/>
      <c r="L102" s="33"/>
      <c r="M102" s="33"/>
      <c r="N102" s="33"/>
      <c r="O102" s="30"/>
      <c r="P102" s="30"/>
    </row>
    <row r="103" spans="2:16" ht="29" thickBot="1" x14ac:dyDescent="0.7">
      <c r="B103" s="50" t="s">
        <v>679</v>
      </c>
      <c r="C103" s="45" t="s">
        <v>633</v>
      </c>
      <c r="D103" s="49" t="str">
        <f>VLOOKUP(C103,overview_of_services!$B$2:$I$123,3,FALSE)</f>
        <v>Water leakage detection</v>
      </c>
      <c r="E103" s="75"/>
      <c r="F103" s="80" t="s">
        <v>680</v>
      </c>
      <c r="G103" s="584" t="e">
        <f>VLOOKUP(C103,overview_of_services!$B$2:$I$88,2,FALSE)</f>
        <v>#N/A</v>
      </c>
      <c r="H103" s="584"/>
      <c r="I103" s="80"/>
      <c r="J103" s="24"/>
      <c r="K103" s="24"/>
      <c r="L103" s="24"/>
      <c r="M103" s="24"/>
      <c r="N103" s="24"/>
      <c r="O103" s="25"/>
      <c r="P103" s="25"/>
    </row>
    <row r="104" spans="2:16" x14ac:dyDescent="0.35">
      <c r="C104" s="35"/>
      <c r="D104" s="35"/>
      <c r="E104" s="35"/>
      <c r="F104" s="35"/>
      <c r="G104" s="35"/>
      <c r="H104" s="35"/>
      <c r="I104" s="35"/>
      <c r="J104" s="35"/>
      <c r="K104" s="35"/>
      <c r="L104" s="35"/>
      <c r="M104" s="35"/>
      <c r="N104" s="35"/>
      <c r="O104" s="35"/>
      <c r="P104" s="30"/>
    </row>
    <row r="105" spans="2:16" x14ac:dyDescent="0.35">
      <c r="C105" s="590" t="s">
        <v>682</v>
      </c>
      <c r="D105" s="590"/>
      <c r="E105" s="585" t="s">
        <v>683</v>
      </c>
      <c r="F105" s="585"/>
      <c r="G105" s="585"/>
      <c r="H105" s="585"/>
      <c r="I105" s="585"/>
      <c r="J105" s="585"/>
      <c r="K105" s="585"/>
      <c r="L105" s="582" t="s">
        <v>684</v>
      </c>
      <c r="M105" s="583"/>
      <c r="N105" s="588" t="s">
        <v>685</v>
      </c>
      <c r="O105" s="586" t="s">
        <v>686</v>
      </c>
      <c r="P105" s="30"/>
    </row>
    <row r="106" spans="2:16" ht="29.5" thickBot="1" x14ac:dyDescent="0.4">
      <c r="C106" s="591"/>
      <c r="D106" s="591"/>
      <c r="E106" s="36" t="s">
        <v>687</v>
      </c>
      <c r="F106" s="36" t="s">
        <v>688</v>
      </c>
      <c r="G106" s="36" t="s">
        <v>689</v>
      </c>
      <c r="H106" s="36" t="s">
        <v>690</v>
      </c>
      <c r="I106" s="36" t="s">
        <v>616</v>
      </c>
      <c r="J106" s="36" t="s">
        <v>691</v>
      </c>
      <c r="K106" s="36" t="s">
        <v>692</v>
      </c>
      <c r="L106" s="52" t="s">
        <v>693</v>
      </c>
      <c r="M106" s="52" t="s">
        <v>694</v>
      </c>
      <c r="N106" s="589"/>
      <c r="O106" s="587"/>
      <c r="P106" s="30"/>
    </row>
    <row r="107" spans="2:16" ht="21.5" thickTop="1" x14ac:dyDescent="0.35">
      <c r="C107" s="47" t="s">
        <v>695</v>
      </c>
      <c r="D107" s="29" t="str">
        <f>VLOOKUP(C103,overview_of_services!$B$2:$I$123,4,FALSE)</f>
        <v>no leakage detection</v>
      </c>
      <c r="E107" s="76" t="s">
        <v>811</v>
      </c>
      <c r="F107" s="76" t="s">
        <v>811</v>
      </c>
      <c r="G107" s="76" t="s">
        <v>811</v>
      </c>
      <c r="H107" s="76" t="s">
        <v>811</v>
      </c>
      <c r="I107" s="76" t="s">
        <v>811</v>
      </c>
      <c r="J107" s="76" t="s">
        <v>811</v>
      </c>
      <c r="K107" s="76" t="s">
        <v>811</v>
      </c>
      <c r="L107" s="38" t="s">
        <v>696</v>
      </c>
      <c r="M107" s="38" t="s">
        <v>696</v>
      </c>
      <c r="N107" s="26">
        <v>0</v>
      </c>
      <c r="O107" s="34" t="s">
        <v>721</v>
      </c>
      <c r="P107" s="31"/>
    </row>
    <row r="108" spans="2:16" ht="21" x14ac:dyDescent="0.35">
      <c r="C108" s="48" t="s">
        <v>699</v>
      </c>
      <c r="D108" s="1" t="str">
        <f>VLOOKUP(C103,overview_of_services!$B$2:$I$123,5,FALSE)</f>
        <v>leakage detection</v>
      </c>
      <c r="E108" s="76" t="s">
        <v>811</v>
      </c>
      <c r="F108" s="76" t="s">
        <v>811</v>
      </c>
      <c r="G108" s="76" t="s">
        <v>811</v>
      </c>
      <c r="H108" s="76" t="s">
        <v>811</v>
      </c>
      <c r="I108" s="76" t="s">
        <v>811</v>
      </c>
      <c r="J108" s="76" t="s">
        <v>811</v>
      </c>
      <c r="K108" s="76" t="s">
        <v>811</v>
      </c>
      <c r="L108" s="38" t="s">
        <v>721</v>
      </c>
      <c r="M108" s="38" t="s">
        <v>721</v>
      </c>
      <c r="N108" s="26" t="s">
        <v>721</v>
      </c>
      <c r="O108" s="34" t="s">
        <v>721</v>
      </c>
      <c r="P108" s="31"/>
    </row>
    <row r="109" spans="2:16" ht="21" x14ac:dyDescent="0.35">
      <c r="C109" s="48" t="s">
        <v>703</v>
      </c>
      <c r="D109" s="1" t="str">
        <f>VLOOKUP(C103,overview_of_services!$B$2:$I$123,6,FALSE)</f>
        <v>smoke detectors, cross-linked</v>
      </c>
      <c r="E109" s="76" t="s">
        <v>811</v>
      </c>
      <c r="F109" s="76" t="s">
        <v>811</v>
      </c>
      <c r="G109" s="76" t="s">
        <v>811</v>
      </c>
      <c r="H109" s="76" t="s">
        <v>811</v>
      </c>
      <c r="I109" s="76" t="s">
        <v>811</v>
      </c>
      <c r="J109" s="76" t="s">
        <v>811</v>
      </c>
      <c r="K109" s="76" t="s">
        <v>811</v>
      </c>
      <c r="L109" s="38" t="s">
        <v>721</v>
      </c>
      <c r="M109" s="38" t="s">
        <v>721</v>
      </c>
      <c r="N109" s="26" t="s">
        <v>721</v>
      </c>
      <c r="O109" s="34" t="s">
        <v>721</v>
      </c>
      <c r="P109" s="31"/>
    </row>
    <row r="110" spans="2:16" ht="21" x14ac:dyDescent="0.35">
      <c r="C110" s="48" t="s">
        <v>706</v>
      </c>
      <c r="D110" s="1">
        <f>VLOOKUP(C103,overview_of_services!$B$2:$I$123,7,FALSE)</f>
        <v>0</v>
      </c>
      <c r="E110" s="37" t="s">
        <v>721</v>
      </c>
      <c r="F110" s="37" t="s">
        <v>721</v>
      </c>
      <c r="G110" s="37" t="s">
        <v>721</v>
      </c>
      <c r="H110" s="37" t="s">
        <v>721</v>
      </c>
      <c r="I110" s="37" t="s">
        <v>721</v>
      </c>
      <c r="J110" s="37" t="s">
        <v>721</v>
      </c>
      <c r="K110" s="37" t="s">
        <v>721</v>
      </c>
      <c r="L110" s="38" t="s">
        <v>721</v>
      </c>
      <c r="M110" s="38" t="s">
        <v>721</v>
      </c>
      <c r="N110" s="26" t="s">
        <v>721</v>
      </c>
      <c r="O110" s="34" t="s">
        <v>721</v>
      </c>
      <c r="P110" s="31"/>
    </row>
    <row r="111" spans="2:16" ht="21" x14ac:dyDescent="0.35">
      <c r="C111" s="48" t="s">
        <v>710</v>
      </c>
      <c r="D111" s="1">
        <f>VLOOKUP(C103,overview_of_services!$B$2:$I$123,8,FALSE)</f>
        <v>0</v>
      </c>
      <c r="E111" s="51"/>
      <c r="F111" s="37"/>
      <c r="G111" s="51"/>
      <c r="H111" s="51"/>
      <c r="I111" s="37"/>
      <c r="J111" s="37"/>
      <c r="K111" s="37"/>
      <c r="L111" s="38" t="s">
        <v>721</v>
      </c>
      <c r="M111" s="38" t="s">
        <v>721</v>
      </c>
      <c r="N111" s="26" t="s">
        <v>721</v>
      </c>
      <c r="O111" s="34" t="s">
        <v>721</v>
      </c>
      <c r="P111" s="31"/>
    </row>
    <row r="112" spans="2:16" ht="15" thickBot="1" x14ac:dyDescent="0.4">
      <c r="C112" s="31"/>
      <c r="D112" s="31"/>
      <c r="E112" s="32"/>
      <c r="F112" s="32"/>
      <c r="G112" s="32"/>
      <c r="H112" s="32"/>
      <c r="I112" s="32"/>
      <c r="J112" s="32"/>
      <c r="K112" s="32"/>
      <c r="L112" s="31"/>
      <c r="M112" s="31"/>
      <c r="N112" s="31"/>
      <c r="O112" s="31"/>
      <c r="P112" s="31"/>
    </row>
    <row r="113" spans="2:16" ht="15" thickBot="1" x14ac:dyDescent="0.4">
      <c r="C113" s="28"/>
      <c r="D113" s="28" t="s">
        <v>712</v>
      </c>
      <c r="E113" s="4"/>
      <c r="F113" s="5"/>
      <c r="G113" s="6"/>
      <c r="H113" s="6"/>
      <c r="I113" s="6"/>
      <c r="J113" s="6"/>
      <c r="K113" s="6"/>
      <c r="L113" s="7"/>
      <c r="M113" s="53"/>
      <c r="N113" s="8"/>
      <c r="O113" s="8"/>
      <c r="P113" s="31"/>
    </row>
    <row r="114" spans="2:16" ht="15" thickBot="1" x14ac:dyDescent="0.4">
      <c r="C114" s="28"/>
      <c r="D114" s="28" t="s">
        <v>714</v>
      </c>
      <c r="E114" s="4"/>
      <c r="F114" s="5"/>
      <c r="G114" s="6"/>
      <c r="H114" s="6"/>
      <c r="I114" s="6"/>
      <c r="J114" s="6"/>
      <c r="K114" s="6"/>
      <c r="L114" s="7"/>
      <c r="M114" s="53"/>
      <c r="N114" s="8"/>
      <c r="O114" s="8"/>
      <c r="P114" s="31"/>
    </row>
    <row r="115" spans="2:16" ht="15" thickBot="1" x14ac:dyDescent="0.4">
      <c r="C115" s="30"/>
      <c r="D115" s="30"/>
      <c r="E115" s="30"/>
      <c r="F115" s="30"/>
      <c r="G115" s="33"/>
      <c r="H115" s="33"/>
      <c r="I115" s="33"/>
      <c r="J115" s="33"/>
      <c r="K115" s="33"/>
      <c r="L115" s="33"/>
      <c r="M115" s="33"/>
      <c r="N115" s="33"/>
      <c r="O115" s="30"/>
      <c r="P115" s="30"/>
    </row>
    <row r="116" spans="2:16" ht="15" thickBot="1" x14ac:dyDescent="0.4">
      <c r="C116" s="46" t="s">
        <v>677</v>
      </c>
      <c r="D116" s="39" t="s">
        <v>678</v>
      </c>
      <c r="E116" s="30"/>
      <c r="F116" s="30"/>
      <c r="G116" s="33"/>
      <c r="H116" s="33"/>
      <c r="I116" s="33"/>
      <c r="J116" s="33"/>
      <c r="K116" s="33"/>
      <c r="L116" s="33"/>
      <c r="M116" s="33"/>
      <c r="N116" s="33"/>
      <c r="O116" s="30"/>
      <c r="P116" s="30"/>
    </row>
    <row r="117" spans="2:16" ht="29" thickBot="1" x14ac:dyDescent="0.7">
      <c r="B117" s="50" t="s">
        <v>679</v>
      </c>
      <c r="C117" s="45" t="s">
        <v>637</v>
      </c>
      <c r="D117" s="49" t="str">
        <f>VLOOKUP(C117,overview_of_services!$B$2:$I$123,3,FALSE)</f>
        <v>Carbon Monoxide detecion</v>
      </c>
      <c r="E117" s="75"/>
      <c r="F117" s="80" t="s">
        <v>680</v>
      </c>
      <c r="G117" s="584" t="e">
        <f>VLOOKUP(C117,overview_of_services!$B$2:$I$88,2,FALSE)</f>
        <v>#N/A</v>
      </c>
      <c r="H117" s="584"/>
      <c r="I117" s="80"/>
      <c r="J117" s="24"/>
      <c r="K117" s="24"/>
      <c r="L117" s="24"/>
      <c r="M117" s="24"/>
      <c r="N117" s="24"/>
      <c r="O117" s="25"/>
      <c r="P117" s="25"/>
    </row>
    <row r="118" spans="2:16" x14ac:dyDescent="0.35">
      <c r="C118" s="35"/>
      <c r="D118" s="35"/>
      <c r="E118" s="35"/>
      <c r="F118" s="35"/>
      <c r="G118" s="35"/>
      <c r="H118" s="35"/>
      <c r="I118" s="35"/>
      <c r="J118" s="35"/>
      <c r="K118" s="35"/>
      <c r="L118" s="35"/>
      <c r="M118" s="35"/>
      <c r="N118" s="35"/>
      <c r="O118" s="35"/>
      <c r="P118" s="30"/>
    </row>
    <row r="119" spans="2:16" x14ac:dyDescent="0.35">
      <c r="C119" s="590" t="s">
        <v>682</v>
      </c>
      <c r="D119" s="590"/>
      <c r="E119" s="585" t="s">
        <v>683</v>
      </c>
      <c r="F119" s="585"/>
      <c r="G119" s="585"/>
      <c r="H119" s="585"/>
      <c r="I119" s="585"/>
      <c r="J119" s="585"/>
      <c r="K119" s="585"/>
      <c r="L119" s="582" t="s">
        <v>684</v>
      </c>
      <c r="M119" s="583"/>
      <c r="N119" s="588" t="s">
        <v>685</v>
      </c>
      <c r="O119" s="586" t="s">
        <v>686</v>
      </c>
      <c r="P119" s="30"/>
    </row>
    <row r="120" spans="2:16" ht="29.5" thickBot="1" x14ac:dyDescent="0.4">
      <c r="C120" s="591"/>
      <c r="D120" s="591"/>
      <c r="E120" s="36" t="s">
        <v>687</v>
      </c>
      <c r="F120" s="36" t="s">
        <v>688</v>
      </c>
      <c r="G120" s="36" t="s">
        <v>689</v>
      </c>
      <c r="H120" s="36" t="s">
        <v>690</v>
      </c>
      <c r="I120" s="36" t="s">
        <v>616</v>
      </c>
      <c r="J120" s="36" t="s">
        <v>691</v>
      </c>
      <c r="K120" s="36" t="s">
        <v>692</v>
      </c>
      <c r="L120" s="52" t="s">
        <v>693</v>
      </c>
      <c r="M120" s="52" t="s">
        <v>694</v>
      </c>
      <c r="N120" s="589"/>
      <c r="O120" s="587"/>
      <c r="P120" s="30"/>
    </row>
    <row r="121" spans="2:16" ht="21.5" thickTop="1" x14ac:dyDescent="0.35">
      <c r="C121" s="47" t="s">
        <v>695</v>
      </c>
      <c r="D121" s="29" t="str">
        <f>VLOOKUP(C117,overview_of_services!$B$2:$I$123,4,FALSE)</f>
        <v>no CO detection</v>
      </c>
      <c r="E121" s="76" t="s">
        <v>811</v>
      </c>
      <c r="F121" s="76" t="s">
        <v>811</v>
      </c>
      <c r="G121" s="76" t="s">
        <v>811</v>
      </c>
      <c r="H121" s="76" t="s">
        <v>811</v>
      </c>
      <c r="I121" s="76" t="s">
        <v>811</v>
      </c>
      <c r="J121" s="76" t="s">
        <v>811</v>
      </c>
      <c r="K121" s="76" t="s">
        <v>811</v>
      </c>
      <c r="L121" s="38" t="s">
        <v>696</v>
      </c>
      <c r="M121" s="38" t="s">
        <v>696</v>
      </c>
      <c r="N121" s="26">
        <v>0</v>
      </c>
      <c r="O121" s="34" t="s">
        <v>721</v>
      </c>
      <c r="P121" s="31"/>
    </row>
    <row r="122" spans="2:16" ht="21" x14ac:dyDescent="0.35">
      <c r="C122" s="48" t="s">
        <v>699</v>
      </c>
      <c r="D122" s="1" t="str">
        <f>VLOOKUP(C117,overview_of_services!$B$2:$I$123,5,FALSE)</f>
        <v>CO detection</v>
      </c>
      <c r="E122" s="76" t="s">
        <v>811</v>
      </c>
      <c r="F122" s="76" t="s">
        <v>811</v>
      </c>
      <c r="G122" s="76" t="s">
        <v>811</v>
      </c>
      <c r="H122" s="76" t="s">
        <v>811</v>
      </c>
      <c r="I122" s="76" t="s">
        <v>811</v>
      </c>
      <c r="J122" s="76" t="s">
        <v>811</v>
      </c>
      <c r="K122" s="76" t="s">
        <v>811</v>
      </c>
      <c r="L122" s="38" t="s">
        <v>721</v>
      </c>
      <c r="M122" s="38" t="s">
        <v>721</v>
      </c>
      <c r="N122" s="26" t="s">
        <v>721</v>
      </c>
      <c r="O122" s="34" t="s">
        <v>721</v>
      </c>
      <c r="P122" s="31"/>
    </row>
    <row r="123" spans="2:16" ht="29" x14ac:dyDescent="0.35">
      <c r="C123" s="48" t="s">
        <v>703</v>
      </c>
      <c r="D123" s="1" t="str">
        <f>VLOOKUP(C117,overview_of_services!$B$2:$I$123,6,FALSE)</f>
        <v>CO detection, cross-linked to other TBS, e.g. warning signals through lighting</v>
      </c>
      <c r="E123" s="76" t="s">
        <v>811</v>
      </c>
      <c r="F123" s="76" t="s">
        <v>811</v>
      </c>
      <c r="G123" s="76" t="s">
        <v>811</v>
      </c>
      <c r="H123" s="76" t="s">
        <v>811</v>
      </c>
      <c r="I123" s="76" t="s">
        <v>811</v>
      </c>
      <c r="J123" s="76" t="s">
        <v>811</v>
      </c>
      <c r="K123" s="76" t="s">
        <v>811</v>
      </c>
      <c r="L123" s="38" t="s">
        <v>721</v>
      </c>
      <c r="M123" s="38" t="s">
        <v>721</v>
      </c>
      <c r="N123" s="26" t="s">
        <v>721</v>
      </c>
      <c r="O123" s="34" t="s">
        <v>721</v>
      </c>
      <c r="P123" s="31"/>
    </row>
    <row r="124" spans="2:16" ht="21" x14ac:dyDescent="0.35">
      <c r="C124" s="48" t="s">
        <v>706</v>
      </c>
      <c r="D124" s="1">
        <f>VLOOKUP(C117,overview_of_services!$B$2:$I$123,7,FALSE)</f>
        <v>0</v>
      </c>
      <c r="E124" s="37" t="s">
        <v>721</v>
      </c>
      <c r="F124" s="37" t="s">
        <v>721</v>
      </c>
      <c r="G124" s="37" t="s">
        <v>721</v>
      </c>
      <c r="H124" s="37" t="s">
        <v>721</v>
      </c>
      <c r="I124" s="37" t="s">
        <v>721</v>
      </c>
      <c r="J124" s="37" t="s">
        <v>721</v>
      </c>
      <c r="K124" s="37" t="s">
        <v>721</v>
      </c>
      <c r="L124" s="38" t="s">
        <v>721</v>
      </c>
      <c r="M124" s="38" t="s">
        <v>721</v>
      </c>
      <c r="N124" s="26" t="s">
        <v>721</v>
      </c>
      <c r="O124" s="34" t="s">
        <v>721</v>
      </c>
      <c r="P124" s="31"/>
    </row>
    <row r="125" spans="2:16" ht="21" x14ac:dyDescent="0.35">
      <c r="C125" s="48" t="s">
        <v>710</v>
      </c>
      <c r="D125" s="1">
        <f>VLOOKUP(C117,overview_of_services!$B$2:$I$123,8,FALSE)</f>
        <v>0</v>
      </c>
      <c r="E125" s="51"/>
      <c r="F125" s="37"/>
      <c r="G125" s="51"/>
      <c r="H125" s="51"/>
      <c r="I125" s="37"/>
      <c r="J125" s="37"/>
      <c r="K125" s="37"/>
      <c r="L125" s="38" t="s">
        <v>721</v>
      </c>
      <c r="M125" s="38" t="s">
        <v>721</v>
      </c>
      <c r="N125" s="26" t="s">
        <v>721</v>
      </c>
      <c r="O125" s="34" t="s">
        <v>721</v>
      </c>
      <c r="P125" s="31"/>
    </row>
    <row r="126" spans="2:16" ht="15" thickBot="1" x14ac:dyDescent="0.4">
      <c r="C126" s="31"/>
      <c r="D126" s="31"/>
      <c r="E126" s="32"/>
      <c r="F126" s="32"/>
      <c r="G126" s="32"/>
      <c r="H126" s="32"/>
      <c r="I126" s="32"/>
      <c r="J126" s="32"/>
      <c r="K126" s="32"/>
      <c r="L126" s="31"/>
      <c r="M126" s="31"/>
      <c r="N126" s="31"/>
      <c r="O126" s="31"/>
      <c r="P126" s="31"/>
    </row>
    <row r="127" spans="2:16" ht="15" thickBot="1" x14ac:dyDescent="0.4">
      <c r="C127" s="28"/>
      <c r="D127" s="28" t="s">
        <v>712</v>
      </c>
      <c r="E127" s="4"/>
      <c r="F127" s="5"/>
      <c r="G127" s="6"/>
      <c r="H127" s="6"/>
      <c r="I127" s="6"/>
      <c r="J127" s="6"/>
      <c r="K127" s="6"/>
      <c r="L127" s="7"/>
      <c r="M127" s="53"/>
      <c r="N127" s="8"/>
      <c r="O127" s="8"/>
      <c r="P127" s="31"/>
    </row>
    <row r="128" spans="2:16" ht="15" thickBot="1" x14ac:dyDescent="0.4">
      <c r="C128" s="28"/>
      <c r="D128" s="28" t="s">
        <v>714</v>
      </c>
      <c r="E128" s="4"/>
      <c r="F128" s="5"/>
      <c r="G128" s="6"/>
      <c r="H128" s="6"/>
      <c r="I128" s="6"/>
      <c r="J128" s="6"/>
      <c r="K128" s="6"/>
      <c r="L128" s="7"/>
      <c r="M128" s="53"/>
      <c r="N128" s="8"/>
      <c r="O128" s="8"/>
      <c r="P128" s="31"/>
    </row>
    <row r="129" spans="3:16" ht="15" thickBot="1" x14ac:dyDescent="0.4"/>
    <row r="130" spans="3:16" ht="15" thickBot="1" x14ac:dyDescent="0.4">
      <c r="C130" s="46" t="s">
        <v>677</v>
      </c>
      <c r="D130" s="39" t="s">
        <v>678</v>
      </c>
      <c r="E130" s="30"/>
      <c r="F130" s="30"/>
      <c r="G130" s="33"/>
      <c r="H130" s="33"/>
      <c r="I130" s="33"/>
      <c r="J130" s="33"/>
      <c r="K130" s="33"/>
      <c r="L130" s="33"/>
      <c r="M130" s="33"/>
      <c r="N130" s="33"/>
      <c r="O130" s="30"/>
      <c r="P130" s="30"/>
    </row>
    <row r="131" spans="3:16" ht="16" thickBot="1" x14ac:dyDescent="0.4">
      <c r="C131" s="45" t="s">
        <v>642</v>
      </c>
      <c r="D131" s="49" t="str">
        <f>VLOOKUP(C131,overview_of_services!$B$2:$I$123,3,FALSE)</f>
        <v>Emergency notification services</v>
      </c>
      <c r="E131" s="75"/>
      <c r="F131" s="80" t="s">
        <v>680</v>
      </c>
      <c r="G131" s="584" t="e">
        <f>VLOOKUP(C131,overview_of_services!$B$2:$I$88,2,FALSE)</f>
        <v>#N/A</v>
      </c>
      <c r="H131" s="584"/>
      <c r="I131" s="80"/>
      <c r="J131" s="24"/>
      <c r="K131" s="24"/>
      <c r="L131" s="24"/>
      <c r="M131" s="24"/>
      <c r="N131" s="24"/>
      <c r="O131" s="25"/>
      <c r="P131" s="25"/>
    </row>
    <row r="132" spans="3:16" x14ac:dyDescent="0.35">
      <c r="C132" s="35"/>
      <c r="D132" s="35"/>
      <c r="E132" s="35"/>
      <c r="F132" s="35"/>
      <c r="G132" s="35"/>
      <c r="H132" s="35"/>
      <c r="I132" s="35"/>
      <c r="J132" s="35"/>
      <c r="K132" s="35"/>
      <c r="L132" s="35"/>
      <c r="M132" s="35"/>
      <c r="N132" s="35"/>
      <c r="O132" s="35"/>
      <c r="P132" s="30"/>
    </row>
    <row r="133" spans="3:16" x14ac:dyDescent="0.35">
      <c r="C133" s="590" t="s">
        <v>682</v>
      </c>
      <c r="D133" s="590"/>
      <c r="E133" s="585" t="s">
        <v>683</v>
      </c>
      <c r="F133" s="585"/>
      <c r="G133" s="585"/>
      <c r="H133" s="585"/>
      <c r="I133" s="585"/>
      <c r="J133" s="585"/>
      <c r="K133" s="585"/>
      <c r="L133" s="582" t="s">
        <v>684</v>
      </c>
      <c r="M133" s="583"/>
      <c r="N133" s="588" t="s">
        <v>685</v>
      </c>
      <c r="O133" s="586" t="s">
        <v>686</v>
      </c>
      <c r="P133" s="30"/>
    </row>
    <row r="134" spans="3:16" ht="29.5" thickBot="1" x14ac:dyDescent="0.4">
      <c r="C134" s="591"/>
      <c r="D134" s="591"/>
      <c r="E134" s="36" t="s">
        <v>687</v>
      </c>
      <c r="F134" s="36" t="s">
        <v>688</v>
      </c>
      <c r="G134" s="36" t="s">
        <v>689</v>
      </c>
      <c r="H134" s="36" t="s">
        <v>690</v>
      </c>
      <c r="I134" s="36" t="s">
        <v>616</v>
      </c>
      <c r="J134" s="36" t="s">
        <v>691</v>
      </c>
      <c r="K134" s="36" t="s">
        <v>692</v>
      </c>
      <c r="L134" s="52" t="s">
        <v>693</v>
      </c>
      <c r="M134" s="52" t="s">
        <v>694</v>
      </c>
      <c r="N134" s="589"/>
      <c r="O134" s="587"/>
      <c r="P134" s="30"/>
    </row>
    <row r="135" spans="3:16" ht="21.5" thickTop="1" x14ac:dyDescent="0.35">
      <c r="C135" s="47" t="s">
        <v>695</v>
      </c>
      <c r="D135" s="29" t="str">
        <f>VLOOKUP(C131,overview_of_services!$B$2:$I$123,4,FALSE)</f>
        <v>simple alarm</v>
      </c>
      <c r="E135" s="76" t="s">
        <v>811</v>
      </c>
      <c r="F135" s="76" t="s">
        <v>811</v>
      </c>
      <c r="G135" s="76" t="s">
        <v>811</v>
      </c>
      <c r="H135" s="76" t="s">
        <v>811</v>
      </c>
      <c r="I135" s="76" t="s">
        <v>811</v>
      </c>
      <c r="J135" s="76" t="s">
        <v>811</v>
      </c>
      <c r="K135" s="76" t="s">
        <v>811</v>
      </c>
      <c r="L135" s="38" t="s">
        <v>696</v>
      </c>
      <c r="M135" s="38" t="s">
        <v>696</v>
      </c>
      <c r="N135" s="26">
        <v>0</v>
      </c>
      <c r="O135" s="34" t="s">
        <v>721</v>
      </c>
      <c r="P135" s="31"/>
    </row>
    <row r="136" spans="3:16" ht="21" x14ac:dyDescent="0.35">
      <c r="C136" s="48" t="s">
        <v>699</v>
      </c>
      <c r="D136" s="1" t="str">
        <f>VLOOKUP(C131,overview_of_services!$B$2:$I$123,5,FALSE)</f>
        <v>alarm with remote notification</v>
      </c>
      <c r="E136" s="76" t="s">
        <v>811</v>
      </c>
      <c r="F136" s="76" t="s">
        <v>811</v>
      </c>
      <c r="G136" s="76" t="s">
        <v>811</v>
      </c>
      <c r="H136" s="76" t="s">
        <v>811</v>
      </c>
      <c r="I136" s="76" t="s">
        <v>811</v>
      </c>
      <c r="J136" s="76" t="s">
        <v>811</v>
      </c>
      <c r="K136" s="76" t="s">
        <v>811</v>
      </c>
      <c r="L136" s="38" t="s">
        <v>721</v>
      </c>
      <c r="M136" s="38" t="s">
        <v>721</v>
      </c>
      <c r="N136" s="26" t="s">
        <v>721</v>
      </c>
      <c r="O136" s="34" t="s">
        <v>721</v>
      </c>
      <c r="P136" s="31"/>
    </row>
    <row r="137" spans="3:16" ht="21" x14ac:dyDescent="0.35">
      <c r="C137" s="48" t="s">
        <v>703</v>
      </c>
      <c r="D137" s="1">
        <f>VLOOKUP(C131,overview_of_services!$B$2:$I$123,6,FALSE)</f>
        <v>0</v>
      </c>
      <c r="E137" s="76" t="s">
        <v>811</v>
      </c>
      <c r="F137" s="76" t="s">
        <v>811</v>
      </c>
      <c r="G137" s="76" t="s">
        <v>811</v>
      </c>
      <c r="H137" s="76" t="s">
        <v>811</v>
      </c>
      <c r="I137" s="76" t="s">
        <v>811</v>
      </c>
      <c r="J137" s="76" t="s">
        <v>811</v>
      </c>
      <c r="K137" s="76" t="s">
        <v>811</v>
      </c>
      <c r="L137" s="38" t="s">
        <v>721</v>
      </c>
      <c r="M137" s="38" t="s">
        <v>721</v>
      </c>
      <c r="N137" s="26" t="s">
        <v>721</v>
      </c>
      <c r="O137" s="34" t="s">
        <v>721</v>
      </c>
      <c r="P137" s="31"/>
    </row>
    <row r="138" spans="3:16" ht="21" x14ac:dyDescent="0.35">
      <c r="C138" s="48" t="s">
        <v>706</v>
      </c>
      <c r="D138" s="1">
        <f>VLOOKUP(C131,overview_of_services!$B$2:$I$123,7,FALSE)</f>
        <v>0</v>
      </c>
      <c r="E138" s="37" t="s">
        <v>721</v>
      </c>
      <c r="F138" s="37" t="s">
        <v>721</v>
      </c>
      <c r="G138" s="37" t="s">
        <v>721</v>
      </c>
      <c r="H138" s="37" t="s">
        <v>721</v>
      </c>
      <c r="I138" s="37" t="s">
        <v>721</v>
      </c>
      <c r="J138" s="37" t="s">
        <v>721</v>
      </c>
      <c r="K138" s="37" t="s">
        <v>721</v>
      </c>
      <c r="L138" s="38" t="s">
        <v>721</v>
      </c>
      <c r="M138" s="38" t="s">
        <v>721</v>
      </c>
      <c r="N138" s="26" t="s">
        <v>721</v>
      </c>
      <c r="O138" s="34" t="s">
        <v>721</v>
      </c>
      <c r="P138" s="31"/>
    </row>
    <row r="139" spans="3:16" ht="21" x14ac:dyDescent="0.35">
      <c r="C139" s="48" t="s">
        <v>710</v>
      </c>
      <c r="D139" s="1">
        <f>VLOOKUP(C131,overview_of_services!$B$2:$I$123,8,FALSE)</f>
        <v>0</v>
      </c>
      <c r="E139" s="51"/>
      <c r="F139" s="37"/>
      <c r="G139" s="51"/>
      <c r="H139" s="51"/>
      <c r="I139" s="37"/>
      <c r="J139" s="37"/>
      <c r="K139" s="37"/>
      <c r="L139" s="38" t="s">
        <v>721</v>
      </c>
      <c r="M139" s="38" t="s">
        <v>721</v>
      </c>
      <c r="N139" s="26" t="s">
        <v>721</v>
      </c>
      <c r="O139" s="34" t="s">
        <v>721</v>
      </c>
      <c r="P139" s="31"/>
    </row>
    <row r="140" spans="3:16" ht="15" thickBot="1" x14ac:dyDescent="0.4">
      <c r="C140" s="31"/>
      <c r="D140" s="31"/>
      <c r="E140" s="32"/>
      <c r="F140" s="32"/>
      <c r="G140" s="32"/>
      <c r="H140" s="32"/>
      <c r="I140" s="32"/>
      <c r="J140" s="32"/>
      <c r="K140" s="32"/>
      <c r="L140" s="31"/>
      <c r="M140" s="31"/>
      <c r="N140" s="31"/>
      <c r="O140" s="31"/>
      <c r="P140" s="31"/>
    </row>
    <row r="141" spans="3:16" ht="15" thickBot="1" x14ac:dyDescent="0.4">
      <c r="C141" s="28"/>
      <c r="D141" s="28" t="s">
        <v>712</v>
      </c>
      <c r="E141" s="4"/>
      <c r="F141" s="5"/>
      <c r="G141" s="6"/>
      <c r="H141" s="6"/>
      <c r="I141" s="6"/>
      <c r="J141" s="6"/>
      <c r="K141" s="6"/>
      <c r="L141" s="7"/>
      <c r="M141" s="53"/>
      <c r="N141" s="8"/>
      <c r="O141" s="8"/>
      <c r="P141" s="31"/>
    </row>
    <row r="142" spans="3:16" ht="15" thickBot="1" x14ac:dyDescent="0.4">
      <c r="C142" s="28"/>
      <c r="D142" s="28" t="s">
        <v>714</v>
      </c>
      <c r="E142" s="4"/>
      <c r="F142" s="5"/>
      <c r="G142" s="6"/>
      <c r="H142" s="6"/>
      <c r="I142" s="6"/>
      <c r="J142" s="6"/>
      <c r="K142" s="6"/>
      <c r="L142" s="7"/>
      <c r="M142" s="53"/>
      <c r="N142" s="8"/>
      <c r="O142" s="8"/>
      <c r="P142" s="31"/>
    </row>
    <row r="145" spans="3:15" ht="15" thickBot="1" x14ac:dyDescent="0.4"/>
    <row r="146" spans="3:15" ht="15" thickBot="1" x14ac:dyDescent="0.4">
      <c r="C146" s="46" t="s">
        <v>677</v>
      </c>
      <c r="D146" s="39" t="s">
        <v>678</v>
      </c>
      <c r="E146" s="30"/>
      <c r="F146" s="30"/>
      <c r="G146" s="33"/>
      <c r="H146" s="33"/>
      <c r="I146" s="33"/>
      <c r="J146" s="33"/>
      <c r="K146" s="33"/>
      <c r="L146" s="33"/>
      <c r="M146" s="33"/>
      <c r="N146" s="33"/>
      <c r="O146" s="30"/>
    </row>
    <row r="147" spans="3:15" ht="16" thickBot="1" x14ac:dyDescent="0.4">
      <c r="C147" s="45" t="s">
        <v>646</v>
      </c>
      <c r="D147" s="49" t="str">
        <f>VLOOKUP(C147,overview_of_services!$B$2:$I$123,3,FALSE)</f>
        <v>Smart testing of emergency lighting</v>
      </c>
      <c r="E147" s="75"/>
      <c r="F147" s="80" t="s">
        <v>680</v>
      </c>
      <c r="G147" s="584" t="e">
        <f>VLOOKUP(C147,overview_of_services!$B$2:$I$88,2,FALSE)</f>
        <v>#N/A</v>
      </c>
      <c r="H147" s="584"/>
      <c r="I147" s="80"/>
      <c r="J147" s="24"/>
      <c r="K147" s="24"/>
      <c r="L147" s="24"/>
      <c r="M147" s="24"/>
      <c r="N147" s="24"/>
      <c r="O147" s="25"/>
    </row>
    <row r="148" spans="3:15" x14ac:dyDescent="0.35">
      <c r="C148" s="35"/>
      <c r="D148" s="35"/>
      <c r="E148" s="35"/>
      <c r="F148" s="35"/>
      <c r="G148" s="35"/>
      <c r="H148" s="35"/>
      <c r="I148" s="35"/>
      <c r="J148" s="35"/>
      <c r="K148" s="35"/>
      <c r="L148" s="35"/>
      <c r="M148" s="35"/>
      <c r="N148" s="35"/>
      <c r="O148" s="35"/>
    </row>
    <row r="149" spans="3:15" x14ac:dyDescent="0.35">
      <c r="C149" s="590" t="s">
        <v>682</v>
      </c>
      <c r="D149" s="590"/>
      <c r="E149" s="585" t="s">
        <v>683</v>
      </c>
      <c r="F149" s="585"/>
      <c r="G149" s="585"/>
      <c r="H149" s="585"/>
      <c r="I149" s="585"/>
      <c r="J149" s="585"/>
      <c r="K149" s="585"/>
      <c r="L149" s="582" t="s">
        <v>684</v>
      </c>
      <c r="M149" s="583"/>
      <c r="N149" s="588" t="s">
        <v>685</v>
      </c>
      <c r="O149" s="586" t="s">
        <v>686</v>
      </c>
    </row>
    <row r="150" spans="3:15" ht="29.5" thickBot="1" x14ac:dyDescent="0.4">
      <c r="C150" s="591"/>
      <c r="D150" s="591"/>
      <c r="E150" s="36" t="s">
        <v>687</v>
      </c>
      <c r="F150" s="36" t="s">
        <v>688</v>
      </c>
      <c r="G150" s="36" t="s">
        <v>689</v>
      </c>
      <c r="H150" s="36" t="s">
        <v>690</v>
      </c>
      <c r="I150" s="36" t="s">
        <v>616</v>
      </c>
      <c r="J150" s="36" t="s">
        <v>691</v>
      </c>
      <c r="K150" s="36" t="s">
        <v>692</v>
      </c>
      <c r="L150" s="52" t="s">
        <v>693</v>
      </c>
      <c r="M150" s="52" t="s">
        <v>694</v>
      </c>
      <c r="N150" s="589"/>
      <c r="O150" s="587"/>
    </row>
    <row r="151" spans="3:15" ht="21.5" thickTop="1" x14ac:dyDescent="0.35">
      <c r="C151" s="47" t="s">
        <v>695</v>
      </c>
      <c r="D151" s="29" t="str">
        <f>VLOOKUP(C147,overview_of_services!$B$2:$I$123,4,FALSE)</f>
        <v xml:space="preserve">No emergency lighting </v>
      </c>
      <c r="E151" s="76" t="s">
        <v>811</v>
      </c>
      <c r="F151" s="76" t="s">
        <v>811</v>
      </c>
      <c r="G151" s="76" t="s">
        <v>811</v>
      </c>
      <c r="H151" s="76" t="s">
        <v>811</v>
      </c>
      <c r="I151" s="76" t="s">
        <v>811</v>
      </c>
      <c r="J151" s="76" t="s">
        <v>811</v>
      </c>
      <c r="K151" s="76" t="s">
        <v>811</v>
      </c>
      <c r="L151" s="38" t="s">
        <v>696</v>
      </c>
      <c r="M151" s="38" t="s">
        <v>696</v>
      </c>
      <c r="N151" s="26">
        <v>0</v>
      </c>
      <c r="O151" s="34" t="s">
        <v>721</v>
      </c>
    </row>
    <row r="152" spans="3:15" ht="21" x14ac:dyDescent="0.35">
      <c r="C152" s="48" t="s">
        <v>699</v>
      </c>
      <c r="D152" s="1" t="str">
        <f>VLOOKUP(C147,overview_of_services!$B$2:$I$123,5,FALSE)</f>
        <v>Emergency lighting with manual testing</v>
      </c>
      <c r="E152" s="76" t="s">
        <v>811</v>
      </c>
      <c r="F152" s="76" t="s">
        <v>811</v>
      </c>
      <c r="G152" s="76" t="s">
        <v>811</v>
      </c>
      <c r="H152" s="76" t="s">
        <v>811</v>
      </c>
      <c r="I152" s="76" t="s">
        <v>811</v>
      </c>
      <c r="J152" s="76" t="s">
        <v>811</v>
      </c>
      <c r="K152" s="76" t="s">
        <v>811</v>
      </c>
      <c r="L152" s="38" t="s">
        <v>721</v>
      </c>
      <c r="M152" s="38" t="s">
        <v>721</v>
      </c>
      <c r="N152" s="26" t="s">
        <v>721</v>
      </c>
      <c r="O152" s="34" t="s">
        <v>721</v>
      </c>
    </row>
    <row r="153" spans="3:15" ht="21" x14ac:dyDescent="0.35">
      <c r="C153" s="48" t="s">
        <v>703</v>
      </c>
      <c r="D153" s="1" t="str">
        <f>VLOOKUP(C147,overview_of_services!$B$2:$I$123,6,FALSE)</f>
        <v>Emergency lighting with automatic testing</v>
      </c>
      <c r="E153" s="76" t="s">
        <v>811</v>
      </c>
      <c r="F153" s="76" t="s">
        <v>811</v>
      </c>
      <c r="G153" s="76" t="s">
        <v>811</v>
      </c>
      <c r="H153" s="76" t="s">
        <v>811</v>
      </c>
      <c r="I153" s="76" t="s">
        <v>811</v>
      </c>
      <c r="J153" s="76" t="s">
        <v>811</v>
      </c>
      <c r="K153" s="76" t="s">
        <v>811</v>
      </c>
      <c r="L153" s="38" t="s">
        <v>721</v>
      </c>
      <c r="M153" s="38" t="s">
        <v>721</v>
      </c>
      <c r="N153" s="26" t="s">
        <v>721</v>
      </c>
      <c r="O153" s="34" t="s">
        <v>721</v>
      </c>
    </row>
    <row r="154" spans="3:15" ht="29" x14ac:dyDescent="0.35">
      <c r="C154" s="48" t="s">
        <v>706</v>
      </c>
      <c r="D154" s="1" t="str">
        <f>VLOOKUP(C147,overview_of_services!$B$2:$I$123,7,FALSE)</f>
        <v>Emergency lighting with automatic testing, connected to a centralised reporting system</v>
      </c>
      <c r="E154" s="76" t="s">
        <v>811</v>
      </c>
      <c r="F154" s="76" t="s">
        <v>811</v>
      </c>
      <c r="G154" s="76" t="s">
        <v>811</v>
      </c>
      <c r="H154" s="76" t="s">
        <v>811</v>
      </c>
      <c r="I154" s="76" t="s">
        <v>811</v>
      </c>
      <c r="J154" s="76" t="s">
        <v>811</v>
      </c>
      <c r="K154" s="76" t="s">
        <v>811</v>
      </c>
      <c r="L154" s="38" t="s">
        <v>721</v>
      </c>
      <c r="M154" s="38" t="s">
        <v>721</v>
      </c>
      <c r="N154" s="26" t="s">
        <v>721</v>
      </c>
      <c r="O154" s="34" t="s">
        <v>721</v>
      </c>
    </row>
    <row r="155" spans="3:15" ht="21" x14ac:dyDescent="0.35">
      <c r="C155" s="48" t="s">
        <v>710</v>
      </c>
      <c r="D155" s="1">
        <f>VLOOKUP(C147,overview_of_services!$B$2:$I$123,8,FALSE)</f>
        <v>0</v>
      </c>
      <c r="E155" s="51"/>
      <c r="F155" s="37"/>
      <c r="G155" s="51"/>
      <c r="H155" s="51"/>
      <c r="I155" s="37"/>
      <c r="J155" s="37"/>
      <c r="K155" s="37"/>
      <c r="L155" s="38" t="s">
        <v>721</v>
      </c>
      <c r="M155" s="38" t="s">
        <v>721</v>
      </c>
      <c r="N155" s="26" t="s">
        <v>721</v>
      </c>
      <c r="O155" s="34" t="s">
        <v>721</v>
      </c>
    </row>
    <row r="156" spans="3:15" ht="15" thickBot="1" x14ac:dyDescent="0.4">
      <c r="C156" s="31"/>
      <c r="D156" s="31"/>
      <c r="E156" s="32"/>
      <c r="F156" s="32"/>
      <c r="G156" s="32"/>
      <c r="H156" s="32"/>
      <c r="I156" s="32"/>
      <c r="J156" s="32"/>
      <c r="K156" s="32"/>
      <c r="L156" s="31"/>
      <c r="M156" s="31"/>
      <c r="N156" s="31"/>
      <c r="O156" s="31"/>
    </row>
    <row r="157" spans="3:15" ht="15" thickBot="1" x14ac:dyDescent="0.4">
      <c r="C157" s="28"/>
      <c r="D157" s="28" t="s">
        <v>712</v>
      </c>
      <c r="E157" s="4"/>
      <c r="F157" s="5"/>
      <c r="G157" s="6"/>
      <c r="H157" s="6"/>
      <c r="I157" s="6"/>
      <c r="J157" s="6"/>
      <c r="K157" s="6"/>
      <c r="L157" s="7"/>
      <c r="M157" s="53"/>
      <c r="N157" s="8"/>
      <c r="O157" s="8"/>
    </row>
    <row r="158" spans="3:15" ht="15" thickBot="1" x14ac:dyDescent="0.4">
      <c r="C158" s="28"/>
      <c r="D158" s="28" t="s">
        <v>714</v>
      </c>
      <c r="E158" s="4"/>
      <c r="F158" s="5"/>
      <c r="G158" s="6"/>
      <c r="H158" s="6"/>
      <c r="I158" s="6"/>
      <c r="J158" s="6"/>
      <c r="K158" s="6"/>
      <c r="L158" s="7"/>
      <c r="M158" s="53"/>
      <c r="N158" s="8"/>
      <c r="O158" s="8"/>
    </row>
    <row r="161" spans="3:15" ht="15" thickBot="1" x14ac:dyDescent="0.4"/>
    <row r="162" spans="3:15" ht="15" thickBot="1" x14ac:dyDescent="0.4">
      <c r="C162" s="46" t="s">
        <v>677</v>
      </c>
      <c r="D162" s="39" t="s">
        <v>678</v>
      </c>
      <c r="E162" s="30"/>
      <c r="F162" s="30"/>
      <c r="G162" s="33"/>
      <c r="H162" s="33"/>
      <c r="I162" s="33"/>
      <c r="J162" s="33"/>
      <c r="K162" s="33"/>
      <c r="L162" s="33"/>
      <c r="M162" s="33"/>
      <c r="N162" s="33"/>
      <c r="O162" s="30"/>
    </row>
    <row r="163" spans="3:15" ht="16" thickBot="1" x14ac:dyDescent="0.4">
      <c r="C163" s="45" t="s">
        <v>652</v>
      </c>
      <c r="D163" s="49" t="str">
        <f>VLOOKUP(C163,overview_of_services!$B$2:$I$123,3,FALSE)</f>
        <v>Intelligent alerting on building events</v>
      </c>
      <c r="E163" s="75"/>
      <c r="F163" s="80" t="s">
        <v>680</v>
      </c>
      <c r="G163" s="584" t="e">
        <f>VLOOKUP(C163,overview_of_services!$B$2:$I$88,2,FALSE)</f>
        <v>#N/A</v>
      </c>
      <c r="H163" s="584"/>
      <c r="I163" s="80"/>
      <c r="J163" s="24"/>
      <c r="K163" s="24"/>
      <c r="L163" s="24"/>
      <c r="M163" s="24"/>
      <c r="N163" s="24"/>
      <c r="O163" s="25"/>
    </row>
    <row r="164" spans="3:15" x14ac:dyDescent="0.35">
      <c r="C164" s="35"/>
      <c r="D164" s="35"/>
      <c r="E164" s="35"/>
      <c r="F164" s="35"/>
      <c r="G164" s="35"/>
      <c r="H164" s="35"/>
      <c r="I164" s="35"/>
      <c r="J164" s="35"/>
      <c r="K164" s="35"/>
      <c r="L164" s="35"/>
      <c r="M164" s="35"/>
      <c r="N164" s="35"/>
      <c r="O164" s="35"/>
    </row>
    <row r="165" spans="3:15" x14ac:dyDescent="0.35">
      <c r="C165" s="590" t="s">
        <v>682</v>
      </c>
      <c r="D165" s="590"/>
      <c r="E165" s="585" t="s">
        <v>683</v>
      </c>
      <c r="F165" s="585"/>
      <c r="G165" s="585"/>
      <c r="H165" s="585"/>
      <c r="I165" s="585"/>
      <c r="J165" s="585"/>
      <c r="K165" s="585"/>
      <c r="L165" s="582" t="s">
        <v>684</v>
      </c>
      <c r="M165" s="583"/>
      <c r="N165" s="588" t="s">
        <v>685</v>
      </c>
      <c r="O165" s="586" t="s">
        <v>686</v>
      </c>
    </row>
    <row r="166" spans="3:15" ht="29.5" thickBot="1" x14ac:dyDescent="0.4">
      <c r="C166" s="591"/>
      <c r="D166" s="591"/>
      <c r="E166" s="36" t="s">
        <v>687</v>
      </c>
      <c r="F166" s="36" t="s">
        <v>688</v>
      </c>
      <c r="G166" s="36" t="s">
        <v>689</v>
      </c>
      <c r="H166" s="36" t="s">
        <v>690</v>
      </c>
      <c r="I166" s="36" t="s">
        <v>616</v>
      </c>
      <c r="J166" s="36" t="s">
        <v>691</v>
      </c>
      <c r="K166" s="36" t="s">
        <v>692</v>
      </c>
      <c r="L166" s="52" t="s">
        <v>693</v>
      </c>
      <c r="M166" s="52" t="s">
        <v>694</v>
      </c>
      <c r="N166" s="589"/>
      <c r="O166" s="587"/>
    </row>
    <row r="167" spans="3:15" ht="21.5" thickTop="1" x14ac:dyDescent="0.35">
      <c r="C167" s="47" t="s">
        <v>695</v>
      </c>
      <c r="D167" s="29" t="str">
        <f>VLOOKUP(C163,overview_of_services!$B$2:$I$123,4,FALSE)</f>
        <v>none</v>
      </c>
      <c r="E167" s="76" t="s">
        <v>811</v>
      </c>
      <c r="F167" s="76" t="s">
        <v>811</v>
      </c>
      <c r="G167" s="76" t="s">
        <v>811</v>
      </c>
      <c r="H167" s="76" t="s">
        <v>811</v>
      </c>
      <c r="I167" s="76" t="s">
        <v>811</v>
      </c>
      <c r="J167" s="76" t="s">
        <v>811</v>
      </c>
      <c r="K167" s="76" t="s">
        <v>811</v>
      </c>
      <c r="L167" s="38" t="s">
        <v>696</v>
      </c>
      <c r="M167" s="38" t="s">
        <v>696</v>
      </c>
      <c r="N167" s="26">
        <v>0</v>
      </c>
      <c r="O167" s="34" t="s">
        <v>721</v>
      </c>
    </row>
    <row r="168" spans="3:15" ht="21" x14ac:dyDescent="0.35">
      <c r="C168" s="48" t="s">
        <v>699</v>
      </c>
      <c r="D168" s="1" t="str">
        <f>VLOOKUP(C163,overview_of_services!$B$2:$I$123,5,FALSE)</f>
        <v>basic technology</v>
      </c>
      <c r="E168" s="76" t="s">
        <v>811</v>
      </c>
      <c r="F168" s="76" t="s">
        <v>811</v>
      </c>
      <c r="G168" s="76" t="s">
        <v>811</v>
      </c>
      <c r="H168" s="76" t="s">
        <v>811</v>
      </c>
      <c r="I168" s="76" t="s">
        <v>811</v>
      </c>
      <c r="J168" s="76" t="s">
        <v>811</v>
      </c>
      <c r="K168" s="76" t="s">
        <v>811</v>
      </c>
      <c r="L168" s="38" t="s">
        <v>721</v>
      </c>
      <c r="M168" s="38" t="s">
        <v>721</v>
      </c>
      <c r="N168" s="26" t="s">
        <v>721</v>
      </c>
      <c r="O168" s="34" t="s">
        <v>721</v>
      </c>
    </row>
    <row r="169" spans="3:15" ht="21" x14ac:dyDescent="0.35">
      <c r="C169" s="48" t="s">
        <v>703</v>
      </c>
      <c r="D169" s="1" t="str">
        <f>VLOOKUP(C163,overview_of_services!$B$2:$I$123,6,FALSE)</f>
        <v>Artificial Intelligence</v>
      </c>
      <c r="E169" s="76" t="s">
        <v>811</v>
      </c>
      <c r="F169" s="76" t="s">
        <v>811</v>
      </c>
      <c r="G169" s="76" t="s">
        <v>811</v>
      </c>
      <c r="H169" s="76" t="s">
        <v>811</v>
      </c>
      <c r="I169" s="76" t="s">
        <v>811</v>
      </c>
      <c r="J169" s="76" t="s">
        <v>811</v>
      </c>
      <c r="K169" s="76" t="s">
        <v>811</v>
      </c>
      <c r="L169" s="38" t="s">
        <v>721</v>
      </c>
      <c r="M169" s="38" t="s">
        <v>721</v>
      </c>
      <c r="N169" s="26" t="s">
        <v>721</v>
      </c>
      <c r="O169" s="34" t="s">
        <v>721</v>
      </c>
    </row>
    <row r="170" spans="3:15" ht="21" x14ac:dyDescent="0.35">
      <c r="C170" s="48" t="s">
        <v>706</v>
      </c>
      <c r="D170" s="1">
        <f>VLOOKUP(C163,overview_of_services!$B$2:$I$123,7,FALSE)</f>
        <v>0</v>
      </c>
      <c r="E170" s="37" t="s">
        <v>721</v>
      </c>
      <c r="F170" s="37" t="s">
        <v>721</v>
      </c>
      <c r="G170" s="37" t="s">
        <v>721</v>
      </c>
      <c r="H170" s="37" t="s">
        <v>721</v>
      </c>
      <c r="I170" s="37" t="s">
        <v>721</v>
      </c>
      <c r="J170" s="37" t="s">
        <v>721</v>
      </c>
      <c r="K170" s="37" t="s">
        <v>721</v>
      </c>
      <c r="L170" s="38" t="s">
        <v>721</v>
      </c>
      <c r="M170" s="38" t="s">
        <v>721</v>
      </c>
      <c r="N170" s="26" t="s">
        <v>721</v>
      </c>
      <c r="O170" s="34" t="s">
        <v>721</v>
      </c>
    </row>
    <row r="171" spans="3:15" ht="21" x14ac:dyDescent="0.35">
      <c r="C171" s="48" t="s">
        <v>710</v>
      </c>
      <c r="D171" s="1">
        <f>VLOOKUP(C163,overview_of_services!$B$2:$I$123,8,FALSE)</f>
        <v>0</v>
      </c>
      <c r="E171" s="51"/>
      <c r="F171" s="37"/>
      <c r="G171" s="51"/>
      <c r="H171" s="51"/>
      <c r="I171" s="37"/>
      <c r="J171" s="37"/>
      <c r="K171" s="37"/>
      <c r="L171" s="38" t="s">
        <v>721</v>
      </c>
      <c r="M171" s="38" t="s">
        <v>721</v>
      </c>
      <c r="N171" s="26" t="s">
        <v>721</v>
      </c>
      <c r="O171" s="34" t="s">
        <v>721</v>
      </c>
    </row>
    <row r="172" spans="3:15" ht="15" thickBot="1" x14ac:dyDescent="0.4">
      <c r="C172" s="31"/>
      <c r="D172" s="31"/>
      <c r="E172" s="32"/>
      <c r="F172" s="32"/>
      <c r="G172" s="32"/>
      <c r="H172" s="32"/>
      <c r="I172" s="32"/>
      <c r="J172" s="32"/>
      <c r="K172" s="32"/>
      <c r="L172" s="31"/>
      <c r="M172" s="31"/>
      <c r="N172" s="31"/>
      <c r="O172" s="31"/>
    </row>
    <row r="173" spans="3:15" ht="15" thickBot="1" x14ac:dyDescent="0.4">
      <c r="C173" s="28"/>
      <c r="D173" s="28" t="s">
        <v>712</v>
      </c>
      <c r="E173" s="4"/>
      <c r="F173" s="5"/>
      <c r="G173" s="6"/>
      <c r="H173" s="6"/>
      <c r="I173" s="6"/>
      <c r="J173" s="6"/>
      <c r="K173" s="6"/>
      <c r="L173" s="7"/>
      <c r="M173" s="53"/>
      <c r="N173" s="8"/>
      <c r="O173" s="8"/>
    </row>
    <row r="174" spans="3:15" ht="15" thickBot="1" x14ac:dyDescent="0.4">
      <c r="C174" s="28"/>
      <c r="D174" s="28" t="s">
        <v>714</v>
      </c>
      <c r="E174" s="4"/>
      <c r="F174" s="5"/>
      <c r="G174" s="6"/>
      <c r="H174" s="6"/>
      <c r="I174" s="6"/>
      <c r="J174" s="6"/>
      <c r="K174" s="6"/>
      <c r="L174" s="7"/>
      <c r="M174" s="53"/>
      <c r="N174" s="8"/>
      <c r="O174" s="8"/>
    </row>
    <row r="177" spans="3:15" ht="15" thickBot="1" x14ac:dyDescent="0.4"/>
    <row r="178" spans="3:15" ht="15" thickBot="1" x14ac:dyDescent="0.4">
      <c r="C178" s="46" t="s">
        <v>677</v>
      </c>
      <c r="D178" s="39" t="s">
        <v>678</v>
      </c>
      <c r="E178" s="30"/>
      <c r="F178" s="30"/>
      <c r="G178" s="33"/>
      <c r="H178" s="33"/>
      <c r="I178" s="33"/>
      <c r="J178" s="33"/>
      <c r="K178" s="33"/>
      <c r="L178" s="33"/>
      <c r="M178" s="33"/>
      <c r="N178" s="33"/>
      <c r="O178" s="30"/>
    </row>
    <row r="179" spans="3:15" ht="16" thickBot="1" x14ac:dyDescent="0.4">
      <c r="C179" s="45" t="s">
        <v>656</v>
      </c>
      <c r="D179" s="49" t="str">
        <f>VLOOKUP(C179,overview_of_services!$B$2:$I$123,3,FALSE)</f>
        <v>Energy Cost Allocation for heating, cooling and water</v>
      </c>
      <c r="E179" s="75"/>
      <c r="F179" s="80" t="s">
        <v>680</v>
      </c>
      <c r="G179" s="584" t="e">
        <f>VLOOKUP(C179,overview_of_services!$B$2:$I$88,2,FALSE)</f>
        <v>#N/A</v>
      </c>
      <c r="H179" s="584"/>
      <c r="I179" s="80"/>
      <c r="J179" s="24"/>
      <c r="K179" s="24"/>
      <c r="L179" s="24"/>
      <c r="M179" s="24"/>
      <c r="N179" s="24"/>
      <c r="O179" s="25"/>
    </row>
    <row r="180" spans="3:15" x14ac:dyDescent="0.35">
      <c r="C180" s="35"/>
      <c r="D180" s="35"/>
      <c r="E180" s="35"/>
      <c r="F180" s="35"/>
      <c r="G180" s="35"/>
      <c r="H180" s="35"/>
      <c r="I180" s="35"/>
      <c r="J180" s="35"/>
      <c r="K180" s="35"/>
      <c r="L180" s="35"/>
      <c r="M180" s="35"/>
      <c r="N180" s="35"/>
      <c r="O180" s="35"/>
    </row>
    <row r="181" spans="3:15" x14ac:dyDescent="0.35">
      <c r="C181" s="590" t="s">
        <v>682</v>
      </c>
      <c r="D181" s="590"/>
      <c r="E181" s="585" t="s">
        <v>683</v>
      </c>
      <c r="F181" s="585"/>
      <c r="G181" s="585"/>
      <c r="H181" s="585"/>
      <c r="I181" s="585"/>
      <c r="J181" s="585"/>
      <c r="K181" s="585"/>
      <c r="L181" s="582" t="s">
        <v>684</v>
      </c>
      <c r="M181" s="583"/>
      <c r="N181" s="588" t="s">
        <v>685</v>
      </c>
      <c r="O181" s="586" t="s">
        <v>686</v>
      </c>
    </row>
    <row r="182" spans="3:15" ht="29.5" thickBot="1" x14ac:dyDescent="0.4">
      <c r="C182" s="591"/>
      <c r="D182" s="591"/>
      <c r="E182" s="36" t="s">
        <v>687</v>
      </c>
      <c r="F182" s="36" t="s">
        <v>688</v>
      </c>
      <c r="G182" s="36" t="s">
        <v>689</v>
      </c>
      <c r="H182" s="36" t="s">
        <v>690</v>
      </c>
      <c r="I182" s="36" t="s">
        <v>616</v>
      </c>
      <c r="J182" s="36" t="s">
        <v>691</v>
      </c>
      <c r="K182" s="36" t="s">
        <v>692</v>
      </c>
      <c r="L182" s="52" t="s">
        <v>693</v>
      </c>
      <c r="M182" s="52" t="s">
        <v>694</v>
      </c>
      <c r="N182" s="589"/>
      <c r="O182" s="587"/>
    </row>
    <row r="183" spans="3:15" ht="21.5" thickTop="1" x14ac:dyDescent="0.35">
      <c r="C183" s="47" t="s">
        <v>695</v>
      </c>
      <c r="D183" s="29" t="str">
        <f>VLOOKUP(C179,overview_of_services!$B$2:$I$123,4,FALSE)</f>
        <v>no energy cost allocation</v>
      </c>
      <c r="E183" s="76" t="s">
        <v>811</v>
      </c>
      <c r="F183" s="76" t="s">
        <v>811</v>
      </c>
      <c r="G183" s="76" t="s">
        <v>811</v>
      </c>
      <c r="H183" s="76" t="s">
        <v>811</v>
      </c>
      <c r="I183" s="76" t="s">
        <v>811</v>
      </c>
      <c r="J183" s="76" t="s">
        <v>811</v>
      </c>
      <c r="K183" s="76" t="s">
        <v>811</v>
      </c>
      <c r="L183" s="38" t="s">
        <v>696</v>
      </c>
      <c r="M183" s="38" t="s">
        <v>696</v>
      </c>
      <c r="N183" s="26">
        <v>0</v>
      </c>
      <c r="O183" s="34" t="s">
        <v>721</v>
      </c>
    </row>
    <row r="184" spans="3:15" ht="21" x14ac:dyDescent="0.35">
      <c r="C184" s="48" t="s">
        <v>812</v>
      </c>
      <c r="D184" s="1" t="str">
        <f>VLOOKUP(C179,overview_of_services!$B$2:$I$123,5,FALSE)</f>
        <v>heat cost allocators (HCA) / meters (M)</v>
      </c>
      <c r="E184" s="76" t="s">
        <v>811</v>
      </c>
      <c r="F184" s="76" t="s">
        <v>811</v>
      </c>
      <c r="G184" s="76" t="s">
        <v>811</v>
      </c>
      <c r="H184" s="76" t="s">
        <v>811</v>
      </c>
      <c r="I184" s="76" t="s">
        <v>811</v>
      </c>
      <c r="J184" s="76" t="s">
        <v>811</v>
      </c>
      <c r="K184" s="76" t="s">
        <v>811</v>
      </c>
      <c r="L184" s="38" t="s">
        <v>721</v>
      </c>
      <c r="M184" s="38" t="s">
        <v>721</v>
      </c>
      <c r="N184" s="26" t="s">
        <v>721</v>
      </c>
      <c r="O184" s="34" t="s">
        <v>721</v>
      </c>
    </row>
    <row r="185" spans="3:15" ht="21" x14ac:dyDescent="0.35">
      <c r="C185" s="48" t="s">
        <v>813</v>
      </c>
      <c r="D185" s="1" t="str">
        <f>VLOOKUP(C179,overview_of_services!$B$2:$I$123,6,FALSE)</f>
        <v>HCA / M remote reading walk by</v>
      </c>
      <c r="E185" s="76" t="s">
        <v>811</v>
      </c>
      <c r="F185" s="76" t="s">
        <v>811</v>
      </c>
      <c r="G185" s="76" t="s">
        <v>811</v>
      </c>
      <c r="H185" s="76" t="s">
        <v>811</v>
      </c>
      <c r="I185" s="76" t="s">
        <v>811</v>
      </c>
      <c r="J185" s="76" t="s">
        <v>811</v>
      </c>
      <c r="K185" s="76" t="s">
        <v>811</v>
      </c>
      <c r="L185" s="38" t="s">
        <v>721</v>
      </c>
      <c r="M185" s="38" t="s">
        <v>721</v>
      </c>
      <c r="N185" s="26" t="s">
        <v>721</v>
      </c>
      <c r="O185" s="34" t="s">
        <v>721</v>
      </c>
    </row>
    <row r="186" spans="3:15" ht="21" x14ac:dyDescent="0.35">
      <c r="C186" s="48" t="s">
        <v>706</v>
      </c>
      <c r="D186" s="1" t="str">
        <f>VLOOKUP(C179,overview_of_services!$B$2:$I$123,7,FALSE)</f>
        <v>HCA / M remote reading smartphone</v>
      </c>
      <c r="E186" s="76" t="s">
        <v>811</v>
      </c>
      <c r="F186" s="76" t="s">
        <v>811</v>
      </c>
      <c r="G186" s="76" t="s">
        <v>811</v>
      </c>
      <c r="H186" s="76" t="s">
        <v>811</v>
      </c>
      <c r="I186" s="76" t="s">
        <v>811</v>
      </c>
      <c r="J186" s="76" t="s">
        <v>811</v>
      </c>
      <c r="K186" s="76" t="s">
        <v>811</v>
      </c>
      <c r="L186" s="38" t="s">
        <v>721</v>
      </c>
      <c r="M186" s="38" t="s">
        <v>721</v>
      </c>
      <c r="N186" s="26" t="s">
        <v>721</v>
      </c>
      <c r="O186" s="34" t="s">
        <v>721</v>
      </c>
    </row>
    <row r="187" spans="3:15" ht="21" x14ac:dyDescent="0.35">
      <c r="C187" s="48" t="s">
        <v>710</v>
      </c>
      <c r="D187" s="1" t="str">
        <f>VLOOKUP(C179,overview_of_services!$B$2:$I$123,8,FALSE)</f>
        <v>HCA / M remote reading continuous information</v>
      </c>
      <c r="E187" s="76" t="s">
        <v>811</v>
      </c>
      <c r="F187" s="76" t="s">
        <v>811</v>
      </c>
      <c r="G187" s="76" t="s">
        <v>811</v>
      </c>
      <c r="H187" s="76" t="s">
        <v>811</v>
      </c>
      <c r="I187" s="76" t="s">
        <v>811</v>
      </c>
      <c r="J187" s="76" t="s">
        <v>811</v>
      </c>
      <c r="K187" s="76" t="s">
        <v>811</v>
      </c>
      <c r="L187" s="38" t="s">
        <v>721</v>
      </c>
      <c r="M187" s="38" t="s">
        <v>721</v>
      </c>
      <c r="N187" s="26" t="s">
        <v>721</v>
      </c>
      <c r="O187" s="34" t="s">
        <v>721</v>
      </c>
    </row>
    <row r="188" spans="3:15" ht="15" thickBot="1" x14ac:dyDescent="0.4">
      <c r="C188" s="31"/>
      <c r="D188" s="31"/>
      <c r="E188" s="32"/>
      <c r="F188" s="32"/>
      <c r="G188" s="32"/>
      <c r="H188" s="32"/>
      <c r="I188" s="32"/>
      <c r="J188" s="32"/>
      <c r="K188" s="32"/>
      <c r="L188" s="31"/>
      <c r="M188" s="31"/>
      <c r="N188" s="31"/>
      <c r="O188" s="31"/>
    </row>
    <row r="189" spans="3:15" ht="15" thickBot="1" x14ac:dyDescent="0.4">
      <c r="C189" s="28"/>
      <c r="D189" s="28" t="s">
        <v>712</v>
      </c>
      <c r="E189" s="4"/>
      <c r="F189" s="5"/>
      <c r="G189" s="6"/>
      <c r="H189" s="6"/>
      <c r="I189" s="6"/>
      <c r="J189" s="6"/>
      <c r="K189" s="6"/>
      <c r="L189" s="7"/>
      <c r="M189" s="53"/>
      <c r="N189" s="8"/>
      <c r="O189" s="8"/>
    </row>
    <row r="190" spans="3:15" ht="15" thickBot="1" x14ac:dyDescent="0.4">
      <c r="C190" s="28"/>
      <c r="D190" s="28" t="s">
        <v>714</v>
      </c>
      <c r="E190" s="4"/>
      <c r="F190" s="5"/>
      <c r="G190" s="6"/>
      <c r="H190" s="6"/>
      <c r="I190" s="6"/>
      <c r="J190" s="6"/>
      <c r="K190" s="6"/>
      <c r="L190" s="7"/>
      <c r="M190" s="53"/>
      <c r="N190" s="8"/>
      <c r="O190" s="8"/>
    </row>
    <row r="193" spans="3:15" ht="15" thickBot="1" x14ac:dyDescent="0.4"/>
    <row r="194" spans="3:15" ht="15" thickBot="1" x14ac:dyDescent="0.4">
      <c r="C194" s="46" t="s">
        <v>677</v>
      </c>
      <c r="D194" s="39" t="s">
        <v>678</v>
      </c>
      <c r="E194" s="30"/>
      <c r="F194" s="30"/>
      <c r="G194" s="33"/>
      <c r="H194" s="33"/>
      <c r="I194" s="33"/>
      <c r="J194" s="33"/>
      <c r="K194" s="33"/>
      <c r="L194" s="33"/>
      <c r="M194" s="33"/>
      <c r="N194" s="33"/>
      <c r="O194" s="30"/>
    </row>
    <row r="195" spans="3:15" ht="16" thickBot="1" x14ac:dyDescent="0.4">
      <c r="C195" s="45" t="s">
        <v>664</v>
      </c>
      <c r="D195" s="49" t="str">
        <f>VLOOKUP(C195,overview_of_services!$B$2:$I$123,3,FALSE)</f>
        <v>Lift and elevator control and dispatching</v>
      </c>
      <c r="E195" s="75"/>
      <c r="F195" s="80" t="s">
        <v>680</v>
      </c>
      <c r="G195" s="584" t="e">
        <f>VLOOKUP(C195,overview_of_services!$B$2:$I$88,2,FALSE)</f>
        <v>#N/A</v>
      </c>
      <c r="H195" s="584"/>
      <c r="I195" s="80"/>
      <c r="J195" s="24"/>
      <c r="K195" s="24"/>
      <c r="L195" s="24"/>
      <c r="M195" s="24"/>
      <c r="N195" s="24"/>
      <c r="O195" s="25"/>
    </row>
    <row r="196" spans="3:15" x14ac:dyDescent="0.35">
      <c r="C196" s="35"/>
      <c r="D196" s="35"/>
      <c r="E196" s="35"/>
      <c r="F196" s="35"/>
      <c r="G196" s="35"/>
      <c r="H196" s="35"/>
      <c r="I196" s="35"/>
      <c r="J196" s="35"/>
      <c r="K196" s="35"/>
      <c r="L196" s="35"/>
      <c r="M196" s="35"/>
      <c r="N196" s="35"/>
      <c r="O196" s="35"/>
    </row>
    <row r="197" spans="3:15" x14ac:dyDescent="0.35">
      <c r="C197" s="590" t="s">
        <v>682</v>
      </c>
      <c r="D197" s="590"/>
      <c r="E197" s="585" t="s">
        <v>683</v>
      </c>
      <c r="F197" s="585"/>
      <c r="G197" s="585"/>
      <c r="H197" s="585"/>
      <c r="I197" s="585"/>
      <c r="J197" s="585"/>
      <c r="K197" s="585"/>
      <c r="L197" s="582" t="s">
        <v>684</v>
      </c>
      <c r="M197" s="583"/>
      <c r="N197" s="588" t="s">
        <v>685</v>
      </c>
      <c r="O197" s="586" t="s">
        <v>686</v>
      </c>
    </row>
    <row r="198" spans="3:15" ht="29.5" thickBot="1" x14ac:dyDescent="0.4">
      <c r="C198" s="591"/>
      <c r="D198" s="591"/>
      <c r="E198" s="36" t="s">
        <v>687</v>
      </c>
      <c r="F198" s="36" t="s">
        <v>688</v>
      </c>
      <c r="G198" s="36" t="s">
        <v>689</v>
      </c>
      <c r="H198" s="36" t="s">
        <v>690</v>
      </c>
      <c r="I198" s="36" t="s">
        <v>616</v>
      </c>
      <c r="J198" s="36" t="s">
        <v>691</v>
      </c>
      <c r="K198" s="36" t="s">
        <v>692</v>
      </c>
      <c r="L198" s="52" t="s">
        <v>693</v>
      </c>
      <c r="M198" s="52" t="s">
        <v>694</v>
      </c>
      <c r="N198" s="589"/>
      <c r="O198" s="587"/>
    </row>
    <row r="199" spans="3:15" ht="21.5" thickTop="1" x14ac:dyDescent="0.35">
      <c r="C199" s="47" t="s">
        <v>695</v>
      </c>
      <c r="D199" s="29" t="str">
        <f>VLOOKUP(C195,overview_of_services!$B$2:$I$123,4,FALSE)</f>
        <v>simple on demand</v>
      </c>
      <c r="E199" s="76" t="s">
        <v>811</v>
      </c>
      <c r="F199" s="76" t="s">
        <v>811</v>
      </c>
      <c r="G199" s="76" t="s">
        <v>811</v>
      </c>
      <c r="H199" s="76" t="s">
        <v>811</v>
      </c>
      <c r="I199" s="76" t="s">
        <v>811</v>
      </c>
      <c r="J199" s="76" t="s">
        <v>811</v>
      </c>
      <c r="K199" s="76" t="s">
        <v>811</v>
      </c>
      <c r="L199" s="38" t="s">
        <v>696</v>
      </c>
      <c r="M199" s="38" t="s">
        <v>696</v>
      </c>
      <c r="N199" s="26">
        <v>0</v>
      </c>
      <c r="O199" s="34" t="s">
        <v>721</v>
      </c>
    </row>
    <row r="200" spans="3:15" ht="21" x14ac:dyDescent="0.35">
      <c r="C200" s="48" t="s">
        <v>812</v>
      </c>
      <c r="D200" s="1" t="str">
        <f>VLOOKUP(C195,overview_of_services!$B$2:$I$123,5,FALSE)</f>
        <v>grouping calls</v>
      </c>
      <c r="E200" s="76" t="s">
        <v>811</v>
      </c>
      <c r="F200" s="76" t="s">
        <v>811</v>
      </c>
      <c r="G200" s="76" t="s">
        <v>811</v>
      </c>
      <c r="H200" s="76" t="s">
        <v>811</v>
      </c>
      <c r="I200" s="76" t="s">
        <v>811</v>
      </c>
      <c r="J200" s="76" t="s">
        <v>811</v>
      </c>
      <c r="K200" s="76" t="s">
        <v>811</v>
      </c>
      <c r="L200" s="38" t="s">
        <v>721</v>
      </c>
      <c r="M200" s="38" t="s">
        <v>721</v>
      </c>
      <c r="N200" s="26" t="s">
        <v>721</v>
      </c>
      <c r="O200" s="34" t="s">
        <v>721</v>
      </c>
    </row>
    <row r="201" spans="3:15" ht="21" x14ac:dyDescent="0.35">
      <c r="C201" s="48" t="s">
        <v>813</v>
      </c>
      <c r="D201" s="1" t="str">
        <f>VLOOKUP(C195,overview_of_services!$B$2:$I$123,6,FALSE)</f>
        <v>forecasting</v>
      </c>
      <c r="E201" s="76" t="s">
        <v>811</v>
      </c>
      <c r="F201" s="76" t="s">
        <v>811</v>
      </c>
      <c r="G201" s="76" t="s">
        <v>811</v>
      </c>
      <c r="H201" s="76" t="s">
        <v>811</v>
      </c>
      <c r="I201" s="76" t="s">
        <v>811</v>
      </c>
      <c r="J201" s="76" t="s">
        <v>811</v>
      </c>
      <c r="K201" s="76" t="s">
        <v>811</v>
      </c>
      <c r="L201" s="38" t="s">
        <v>721</v>
      </c>
      <c r="M201" s="38" t="s">
        <v>721</v>
      </c>
      <c r="N201" s="26" t="s">
        <v>721</v>
      </c>
      <c r="O201" s="34" t="s">
        <v>721</v>
      </c>
    </row>
    <row r="202" spans="3:15" ht="21" x14ac:dyDescent="0.35">
      <c r="C202" s="48" t="s">
        <v>706</v>
      </c>
      <c r="D202" s="1">
        <f>VLOOKUP(C195,overview_of_services!$B$2:$I$123,7,FALSE)</f>
        <v>0</v>
      </c>
      <c r="E202" s="76" t="s">
        <v>811</v>
      </c>
      <c r="F202" s="76" t="s">
        <v>811</v>
      </c>
      <c r="G202" s="76" t="s">
        <v>811</v>
      </c>
      <c r="H202" s="76" t="s">
        <v>811</v>
      </c>
      <c r="I202" s="76" t="s">
        <v>811</v>
      </c>
      <c r="J202" s="76" t="s">
        <v>811</v>
      </c>
      <c r="K202" s="76" t="s">
        <v>811</v>
      </c>
      <c r="L202" s="38" t="s">
        <v>721</v>
      </c>
      <c r="M202" s="38" t="s">
        <v>721</v>
      </c>
      <c r="N202" s="26" t="s">
        <v>721</v>
      </c>
      <c r="O202" s="34" t="s">
        <v>721</v>
      </c>
    </row>
    <row r="203" spans="3:15" ht="21" x14ac:dyDescent="0.35">
      <c r="C203" s="48" t="s">
        <v>710</v>
      </c>
      <c r="D203" s="1">
        <f>VLOOKUP(C195,overview_of_services!$B$2:$I$123,8,FALSE)</f>
        <v>0</v>
      </c>
      <c r="E203" s="76" t="s">
        <v>811</v>
      </c>
      <c r="F203" s="76" t="s">
        <v>811</v>
      </c>
      <c r="G203" s="76" t="s">
        <v>811</v>
      </c>
      <c r="H203" s="76" t="s">
        <v>811</v>
      </c>
      <c r="I203" s="76" t="s">
        <v>811</v>
      </c>
      <c r="J203" s="76" t="s">
        <v>811</v>
      </c>
      <c r="K203" s="76" t="s">
        <v>811</v>
      </c>
      <c r="L203" s="38" t="s">
        <v>721</v>
      </c>
      <c r="M203" s="38" t="s">
        <v>721</v>
      </c>
      <c r="N203" s="26" t="s">
        <v>721</v>
      </c>
      <c r="O203" s="34" t="s">
        <v>721</v>
      </c>
    </row>
    <row r="204" spans="3:15" ht="15" thickBot="1" x14ac:dyDescent="0.4">
      <c r="C204" s="31"/>
      <c r="D204" s="31"/>
      <c r="E204" s="32"/>
      <c r="F204" s="32"/>
      <c r="G204" s="32"/>
      <c r="H204" s="32"/>
      <c r="I204" s="32"/>
      <c r="J204" s="32"/>
      <c r="K204" s="32"/>
      <c r="L204" s="31"/>
      <c r="M204" s="31"/>
      <c r="N204" s="31"/>
      <c r="O204" s="31"/>
    </row>
    <row r="205" spans="3:15" ht="15" thickBot="1" x14ac:dyDescent="0.4">
      <c r="C205" s="28"/>
      <c r="D205" s="28" t="s">
        <v>712</v>
      </c>
      <c r="E205" s="4"/>
      <c r="F205" s="5"/>
      <c r="G205" s="6"/>
      <c r="H205" s="6"/>
      <c r="I205" s="6"/>
      <c r="J205" s="6"/>
      <c r="K205" s="6"/>
      <c r="L205" s="7"/>
      <c r="M205" s="53"/>
      <c r="N205" s="8"/>
      <c r="O205" s="8"/>
    </row>
    <row r="206" spans="3:15" ht="15" thickBot="1" x14ac:dyDescent="0.4">
      <c r="C206" s="28"/>
      <c r="D206" s="28" t="s">
        <v>714</v>
      </c>
      <c r="E206" s="4"/>
      <c r="F206" s="5"/>
      <c r="G206" s="6"/>
      <c r="H206" s="6"/>
      <c r="I206" s="6"/>
      <c r="J206" s="6"/>
      <c r="K206" s="6"/>
      <c r="L206" s="7"/>
      <c r="M206" s="53"/>
      <c r="N206" s="8"/>
      <c r="O206" s="8"/>
    </row>
    <row r="209" spans="3:15" ht="15" thickBot="1" x14ac:dyDescent="0.4"/>
    <row r="210" spans="3:15" ht="15" thickBot="1" x14ac:dyDescent="0.4">
      <c r="C210" s="46" t="s">
        <v>677</v>
      </c>
      <c r="D210" s="39" t="s">
        <v>678</v>
      </c>
      <c r="E210" s="30"/>
      <c r="F210" s="30"/>
      <c r="G210" s="33"/>
      <c r="H210" s="33"/>
      <c r="I210" s="33"/>
      <c r="J210" s="33"/>
      <c r="K210" s="33"/>
      <c r="L210" s="33"/>
      <c r="M210" s="33"/>
      <c r="N210" s="33"/>
      <c r="O210" s="30"/>
    </row>
    <row r="211" spans="3:15" ht="16" thickBot="1" x14ac:dyDescent="0.4">
      <c r="C211" s="45" t="s">
        <v>670</v>
      </c>
      <c r="D211" s="49" t="str">
        <f>VLOOKUP(C211,overview_of_services!$B$2:$I$123,3,FALSE)</f>
        <v>Lift and elevator monitoring and maintenance</v>
      </c>
      <c r="E211" s="75"/>
      <c r="F211" s="80" t="s">
        <v>680</v>
      </c>
      <c r="G211" s="584" t="e">
        <f>VLOOKUP(C211,overview_of_services!$B$2:$I$88,2,FALSE)</f>
        <v>#N/A</v>
      </c>
      <c r="H211" s="584"/>
      <c r="I211" s="80"/>
      <c r="J211" s="24"/>
      <c r="K211" s="24"/>
      <c r="L211" s="24"/>
      <c r="M211" s="24"/>
      <c r="N211" s="24"/>
      <c r="O211" s="25"/>
    </row>
    <row r="212" spans="3:15" x14ac:dyDescent="0.35">
      <c r="C212" s="35"/>
      <c r="D212" s="35"/>
      <c r="E212" s="35"/>
      <c r="F212" s="35"/>
      <c r="G212" s="35"/>
      <c r="H212" s="35"/>
      <c r="I212" s="35"/>
      <c r="J212" s="35"/>
      <c r="K212" s="35"/>
      <c r="L212" s="35"/>
      <c r="M212" s="35"/>
      <c r="N212" s="35"/>
      <c r="O212" s="35"/>
    </row>
    <row r="213" spans="3:15" x14ac:dyDescent="0.35">
      <c r="C213" s="590" t="s">
        <v>682</v>
      </c>
      <c r="D213" s="590"/>
      <c r="E213" s="585" t="s">
        <v>683</v>
      </c>
      <c r="F213" s="585"/>
      <c r="G213" s="585"/>
      <c r="H213" s="585"/>
      <c r="I213" s="585"/>
      <c r="J213" s="585"/>
      <c r="K213" s="585"/>
      <c r="L213" s="582" t="s">
        <v>684</v>
      </c>
      <c r="M213" s="583"/>
      <c r="N213" s="588" t="s">
        <v>685</v>
      </c>
      <c r="O213" s="586" t="s">
        <v>686</v>
      </c>
    </row>
    <row r="214" spans="3:15" ht="29.5" thickBot="1" x14ac:dyDescent="0.4">
      <c r="C214" s="591"/>
      <c r="D214" s="591"/>
      <c r="E214" s="36" t="s">
        <v>687</v>
      </c>
      <c r="F214" s="36" t="s">
        <v>688</v>
      </c>
      <c r="G214" s="36" t="s">
        <v>689</v>
      </c>
      <c r="H214" s="36" t="s">
        <v>690</v>
      </c>
      <c r="I214" s="36" t="s">
        <v>616</v>
      </c>
      <c r="J214" s="36" t="s">
        <v>691</v>
      </c>
      <c r="K214" s="36" t="s">
        <v>692</v>
      </c>
      <c r="L214" s="52" t="s">
        <v>693</v>
      </c>
      <c r="M214" s="52" t="s">
        <v>694</v>
      </c>
      <c r="N214" s="589"/>
      <c r="O214" s="587"/>
    </row>
    <row r="215" spans="3:15" ht="21.5" thickTop="1" x14ac:dyDescent="0.35">
      <c r="C215" s="47" t="s">
        <v>695</v>
      </c>
      <c r="D215" s="29">
        <f>VLOOKUP(C211,overview_of_services!$B$2:$I$123,4,FALSE)</f>
        <v>0</v>
      </c>
      <c r="E215" s="76" t="s">
        <v>811</v>
      </c>
      <c r="F215" s="76" t="s">
        <v>811</v>
      </c>
      <c r="G215" s="76" t="s">
        <v>811</v>
      </c>
      <c r="H215" s="76" t="s">
        <v>811</v>
      </c>
      <c r="I215" s="76" t="s">
        <v>811</v>
      </c>
      <c r="J215" s="76" t="s">
        <v>811</v>
      </c>
      <c r="K215" s="76" t="s">
        <v>811</v>
      </c>
      <c r="L215" s="38" t="s">
        <v>696</v>
      </c>
      <c r="M215" s="38" t="s">
        <v>696</v>
      </c>
      <c r="N215" s="26">
        <v>0</v>
      </c>
      <c r="O215" s="34" t="s">
        <v>721</v>
      </c>
    </row>
    <row r="216" spans="3:15" ht="21" x14ac:dyDescent="0.35">
      <c r="C216" s="48" t="s">
        <v>812</v>
      </c>
      <c r="D216" s="1">
        <f>VLOOKUP(C211,overview_of_services!$B$2:$I$123,5,FALSE)</f>
        <v>0</v>
      </c>
      <c r="E216" s="76" t="s">
        <v>811</v>
      </c>
      <c r="F216" s="76" t="s">
        <v>811</v>
      </c>
      <c r="G216" s="76" t="s">
        <v>811</v>
      </c>
      <c r="H216" s="76" t="s">
        <v>811</v>
      </c>
      <c r="I216" s="76" t="s">
        <v>811</v>
      </c>
      <c r="J216" s="76" t="s">
        <v>811</v>
      </c>
      <c r="K216" s="76" t="s">
        <v>811</v>
      </c>
      <c r="L216" s="38" t="s">
        <v>721</v>
      </c>
      <c r="M216" s="38" t="s">
        <v>721</v>
      </c>
      <c r="N216" s="26" t="s">
        <v>721</v>
      </c>
      <c r="O216" s="34" t="s">
        <v>721</v>
      </c>
    </row>
    <row r="217" spans="3:15" ht="21" x14ac:dyDescent="0.35">
      <c r="C217" s="48" t="s">
        <v>813</v>
      </c>
      <c r="D217" s="1">
        <f>VLOOKUP(C211,overview_of_services!$B$2:$I$123,6,FALSE)</f>
        <v>0</v>
      </c>
      <c r="E217" s="76" t="s">
        <v>811</v>
      </c>
      <c r="F217" s="76" t="s">
        <v>811</v>
      </c>
      <c r="G217" s="76" t="s">
        <v>811</v>
      </c>
      <c r="H217" s="76" t="s">
        <v>811</v>
      </c>
      <c r="I217" s="76" t="s">
        <v>811</v>
      </c>
      <c r="J217" s="76" t="s">
        <v>811</v>
      </c>
      <c r="K217" s="76" t="s">
        <v>811</v>
      </c>
      <c r="L217" s="38" t="s">
        <v>721</v>
      </c>
      <c r="M217" s="38" t="s">
        <v>721</v>
      </c>
      <c r="N217" s="26" t="s">
        <v>721</v>
      </c>
      <c r="O217" s="34" t="s">
        <v>721</v>
      </c>
    </row>
    <row r="218" spans="3:15" ht="21" x14ac:dyDescent="0.35">
      <c r="C218" s="48" t="s">
        <v>706</v>
      </c>
      <c r="D218" s="1">
        <f>VLOOKUP(C211,overview_of_services!$B$2:$I$123,7,FALSE)</f>
        <v>0</v>
      </c>
      <c r="E218" s="76" t="s">
        <v>811</v>
      </c>
      <c r="F218" s="76" t="s">
        <v>811</v>
      </c>
      <c r="G218" s="76" t="s">
        <v>811</v>
      </c>
      <c r="H218" s="76" t="s">
        <v>811</v>
      </c>
      <c r="I218" s="76" t="s">
        <v>811</v>
      </c>
      <c r="J218" s="76" t="s">
        <v>811</v>
      </c>
      <c r="K218" s="76" t="s">
        <v>811</v>
      </c>
      <c r="L218" s="38" t="s">
        <v>721</v>
      </c>
      <c r="M218" s="38" t="s">
        <v>721</v>
      </c>
      <c r="N218" s="26" t="s">
        <v>721</v>
      </c>
      <c r="O218" s="34" t="s">
        <v>721</v>
      </c>
    </row>
    <row r="219" spans="3:15" ht="21" x14ac:dyDescent="0.35">
      <c r="C219" s="48" t="s">
        <v>710</v>
      </c>
      <c r="D219" s="1">
        <f>VLOOKUP(C211,overview_of_services!$B$2:$I$123,8,FALSE)</f>
        <v>0</v>
      </c>
      <c r="E219" s="76" t="s">
        <v>811</v>
      </c>
      <c r="F219" s="76" t="s">
        <v>811</v>
      </c>
      <c r="G219" s="76" t="s">
        <v>811</v>
      </c>
      <c r="H219" s="76" t="s">
        <v>811</v>
      </c>
      <c r="I219" s="76" t="s">
        <v>811</v>
      </c>
      <c r="J219" s="76" t="s">
        <v>811</v>
      </c>
      <c r="K219" s="76" t="s">
        <v>811</v>
      </c>
      <c r="L219" s="38" t="s">
        <v>721</v>
      </c>
      <c r="M219" s="38" t="s">
        <v>721</v>
      </c>
      <c r="N219" s="26" t="s">
        <v>721</v>
      </c>
      <c r="O219" s="34" t="s">
        <v>721</v>
      </c>
    </row>
    <row r="220" spans="3:15" ht="15" thickBot="1" x14ac:dyDescent="0.4">
      <c r="C220" s="31"/>
      <c r="D220" s="31"/>
      <c r="E220" s="32"/>
      <c r="F220" s="32"/>
      <c r="G220" s="32"/>
      <c r="H220" s="32"/>
      <c r="I220" s="32"/>
      <c r="J220" s="32"/>
      <c r="K220" s="32"/>
      <c r="L220" s="31"/>
      <c r="M220" s="31"/>
      <c r="N220" s="31"/>
      <c r="O220" s="31"/>
    </row>
    <row r="221" spans="3:15" ht="15" thickBot="1" x14ac:dyDescent="0.4">
      <c r="C221" s="28"/>
      <c r="D221" s="28" t="s">
        <v>712</v>
      </c>
      <c r="E221" s="4"/>
      <c r="F221" s="5"/>
      <c r="G221" s="6"/>
      <c r="H221" s="6"/>
      <c r="I221" s="6"/>
      <c r="J221" s="6"/>
      <c r="K221" s="6"/>
      <c r="L221" s="7"/>
      <c r="M221" s="53"/>
      <c r="N221" s="8"/>
      <c r="O221" s="8"/>
    </row>
    <row r="222" spans="3:15" ht="15" thickBot="1" x14ac:dyDescent="0.4">
      <c r="C222" s="28"/>
      <c r="D222" s="28" t="s">
        <v>714</v>
      </c>
      <c r="E222" s="4"/>
      <c r="F222" s="5"/>
      <c r="G222" s="6"/>
      <c r="H222" s="6"/>
      <c r="I222" s="6"/>
      <c r="J222" s="6"/>
      <c r="K222" s="6"/>
      <c r="L222" s="7"/>
      <c r="M222" s="53"/>
      <c r="N222" s="8"/>
      <c r="O222" s="8"/>
    </row>
    <row r="225" spans="3:15" ht="15" thickBot="1" x14ac:dyDescent="0.4"/>
    <row r="226" spans="3:15" ht="15" thickBot="1" x14ac:dyDescent="0.4">
      <c r="C226" s="46" t="s">
        <v>677</v>
      </c>
      <c r="D226" s="39" t="s">
        <v>678</v>
      </c>
      <c r="E226" s="30"/>
      <c r="F226" s="30"/>
      <c r="G226" s="33"/>
      <c r="H226" s="33"/>
      <c r="I226" s="33"/>
      <c r="J226" s="33"/>
      <c r="K226" s="33"/>
      <c r="L226" s="33"/>
      <c r="M226" s="33"/>
      <c r="N226" s="33"/>
      <c r="O226" s="30"/>
    </row>
    <row r="227" spans="3:15" ht="16" thickBot="1" x14ac:dyDescent="0.4">
      <c r="C227" s="45" t="s">
        <v>672</v>
      </c>
      <c r="D227" s="49" t="str">
        <f>VLOOKUP(C227,overview_of_services!$B$2:$I$123,3,FALSE)</f>
        <v>Lift and elevator energy revovery</v>
      </c>
      <c r="E227" s="75"/>
      <c r="F227" s="80" t="s">
        <v>680</v>
      </c>
      <c r="G227" s="584" t="e">
        <f>VLOOKUP(C227,overview_of_services!$B$2:$I$88,2,FALSE)</f>
        <v>#N/A</v>
      </c>
      <c r="H227" s="584"/>
      <c r="I227" s="80"/>
      <c r="J227" s="24"/>
      <c r="K227" s="24"/>
      <c r="L227" s="24"/>
      <c r="M227" s="24"/>
      <c r="N227" s="24"/>
      <c r="O227" s="25"/>
    </row>
    <row r="228" spans="3:15" x14ac:dyDescent="0.35">
      <c r="C228" s="35"/>
      <c r="D228" s="35"/>
      <c r="E228" s="35"/>
      <c r="F228" s="35"/>
      <c r="G228" s="35"/>
      <c r="H228" s="35"/>
      <c r="I228" s="35"/>
      <c r="J228" s="35"/>
      <c r="K228" s="35"/>
      <c r="L228" s="35"/>
      <c r="M228" s="35"/>
      <c r="N228" s="35"/>
      <c r="O228" s="35"/>
    </row>
    <row r="229" spans="3:15" x14ac:dyDescent="0.35">
      <c r="C229" s="590" t="s">
        <v>682</v>
      </c>
      <c r="D229" s="590"/>
      <c r="E229" s="585" t="s">
        <v>683</v>
      </c>
      <c r="F229" s="585"/>
      <c r="G229" s="585"/>
      <c r="H229" s="585"/>
      <c r="I229" s="585"/>
      <c r="J229" s="585"/>
      <c r="K229" s="585"/>
      <c r="L229" s="582" t="s">
        <v>684</v>
      </c>
      <c r="M229" s="583"/>
      <c r="N229" s="588" t="s">
        <v>685</v>
      </c>
      <c r="O229" s="586" t="s">
        <v>686</v>
      </c>
    </row>
    <row r="230" spans="3:15" ht="29.5" thickBot="1" x14ac:dyDescent="0.4">
      <c r="C230" s="591"/>
      <c r="D230" s="591"/>
      <c r="E230" s="36" t="s">
        <v>687</v>
      </c>
      <c r="F230" s="36" t="s">
        <v>688</v>
      </c>
      <c r="G230" s="36" t="s">
        <v>689</v>
      </c>
      <c r="H230" s="36" t="s">
        <v>690</v>
      </c>
      <c r="I230" s="36" t="s">
        <v>616</v>
      </c>
      <c r="J230" s="36" t="s">
        <v>691</v>
      </c>
      <c r="K230" s="36" t="s">
        <v>692</v>
      </c>
      <c r="L230" s="52" t="s">
        <v>693</v>
      </c>
      <c r="M230" s="52" t="s">
        <v>694</v>
      </c>
      <c r="N230" s="589"/>
      <c r="O230" s="587"/>
    </row>
    <row r="231" spans="3:15" ht="21.5" thickTop="1" x14ac:dyDescent="0.35">
      <c r="C231" s="47" t="s">
        <v>695</v>
      </c>
      <c r="D231" s="29" t="str">
        <f>VLOOKUP(C227,overview_of_services!$B$2:$I$123,4,FALSE)</f>
        <v>none</v>
      </c>
      <c r="E231" s="76" t="s">
        <v>811</v>
      </c>
      <c r="F231" s="76" t="s">
        <v>811</v>
      </c>
      <c r="G231" s="76" t="s">
        <v>811</v>
      </c>
      <c r="H231" s="76" t="s">
        <v>811</v>
      </c>
      <c r="I231" s="76" t="s">
        <v>811</v>
      </c>
      <c r="J231" s="76" t="s">
        <v>811</v>
      </c>
      <c r="K231" s="76" t="s">
        <v>811</v>
      </c>
      <c r="L231" s="38" t="s">
        <v>696</v>
      </c>
      <c r="M231" s="38" t="s">
        <v>696</v>
      </c>
      <c r="N231" s="26">
        <v>0</v>
      </c>
      <c r="O231" s="34" t="s">
        <v>721</v>
      </c>
    </row>
    <row r="232" spans="3:15" ht="21" x14ac:dyDescent="0.35">
      <c r="C232" s="48" t="s">
        <v>812</v>
      </c>
      <c r="D232" s="1" t="str">
        <f>VLOOKUP(C227,overview_of_services!$B$2:$I$123,5,FALSE)</f>
        <v>present</v>
      </c>
      <c r="E232" s="76" t="s">
        <v>811</v>
      </c>
      <c r="F232" s="76" t="s">
        <v>811</v>
      </c>
      <c r="G232" s="76" t="s">
        <v>811</v>
      </c>
      <c r="H232" s="76" t="s">
        <v>811</v>
      </c>
      <c r="I232" s="76" t="s">
        <v>811</v>
      </c>
      <c r="J232" s="76" t="s">
        <v>811</v>
      </c>
      <c r="K232" s="76" t="s">
        <v>811</v>
      </c>
      <c r="L232" s="38" t="s">
        <v>721</v>
      </c>
      <c r="M232" s="38" t="s">
        <v>721</v>
      </c>
      <c r="N232" s="26" t="s">
        <v>721</v>
      </c>
      <c r="O232" s="34" t="s">
        <v>721</v>
      </c>
    </row>
    <row r="233" spans="3:15" ht="21" x14ac:dyDescent="0.35">
      <c r="C233" s="48" t="s">
        <v>813</v>
      </c>
      <c r="D233" s="1" t="str">
        <f>VLOOKUP(C227,overview_of_services!$B$2:$I$123,6,FALSE)</f>
        <v>energy recovery with capacitor or storage</v>
      </c>
      <c r="E233" s="76" t="s">
        <v>811</v>
      </c>
      <c r="F233" s="76" t="s">
        <v>811</v>
      </c>
      <c r="G233" s="76" t="s">
        <v>811</v>
      </c>
      <c r="H233" s="76" t="s">
        <v>811</v>
      </c>
      <c r="I233" s="76" t="s">
        <v>811</v>
      </c>
      <c r="J233" s="76" t="s">
        <v>811</v>
      </c>
      <c r="K233" s="76" t="s">
        <v>811</v>
      </c>
      <c r="L233" s="38" t="s">
        <v>721</v>
      </c>
      <c r="M233" s="38" t="s">
        <v>721</v>
      </c>
      <c r="N233" s="26" t="s">
        <v>721</v>
      </c>
      <c r="O233" s="34" t="s">
        <v>721</v>
      </c>
    </row>
    <row r="234" spans="3:15" ht="21" x14ac:dyDescent="0.35">
      <c r="C234" s="48" t="s">
        <v>706</v>
      </c>
      <c r="D234" s="1">
        <f>VLOOKUP(C227,overview_of_services!$B$2:$I$123,7,FALSE)</f>
        <v>0</v>
      </c>
      <c r="E234" s="76" t="s">
        <v>811</v>
      </c>
      <c r="F234" s="76" t="s">
        <v>811</v>
      </c>
      <c r="G234" s="76" t="s">
        <v>811</v>
      </c>
      <c r="H234" s="76" t="s">
        <v>811</v>
      </c>
      <c r="I234" s="76" t="s">
        <v>811</v>
      </c>
      <c r="J234" s="76" t="s">
        <v>811</v>
      </c>
      <c r="K234" s="76" t="s">
        <v>811</v>
      </c>
      <c r="L234" s="38" t="s">
        <v>721</v>
      </c>
      <c r="M234" s="38" t="s">
        <v>721</v>
      </c>
      <c r="N234" s="26" t="s">
        <v>721</v>
      </c>
      <c r="O234" s="34" t="s">
        <v>721</v>
      </c>
    </row>
    <row r="235" spans="3:15" ht="21" x14ac:dyDescent="0.35">
      <c r="C235" s="48" t="s">
        <v>710</v>
      </c>
      <c r="D235" s="1">
        <f>VLOOKUP(C227,overview_of_services!$B$2:$I$123,8,FALSE)</f>
        <v>0</v>
      </c>
      <c r="E235" s="76" t="s">
        <v>811</v>
      </c>
      <c r="F235" s="76" t="s">
        <v>811</v>
      </c>
      <c r="G235" s="76" t="s">
        <v>811</v>
      </c>
      <c r="H235" s="76" t="s">
        <v>811</v>
      </c>
      <c r="I235" s="76" t="s">
        <v>811</v>
      </c>
      <c r="J235" s="76" t="s">
        <v>811</v>
      </c>
      <c r="K235" s="76" t="s">
        <v>811</v>
      </c>
      <c r="L235" s="38" t="s">
        <v>721</v>
      </c>
      <c r="M235" s="38" t="s">
        <v>721</v>
      </c>
      <c r="N235" s="26" t="s">
        <v>721</v>
      </c>
      <c r="O235" s="34" t="s">
        <v>721</v>
      </c>
    </row>
    <row r="236" spans="3:15" ht="15" thickBot="1" x14ac:dyDescent="0.4">
      <c r="C236" s="31"/>
      <c r="D236" s="31"/>
      <c r="E236" s="32"/>
      <c r="F236" s="32"/>
      <c r="G236" s="32"/>
      <c r="H236" s="32"/>
      <c r="I236" s="32"/>
      <c r="J236" s="32"/>
      <c r="K236" s="32"/>
      <c r="L236" s="31"/>
      <c r="M236" s="31"/>
      <c r="N236" s="31"/>
      <c r="O236" s="31"/>
    </row>
    <row r="237" spans="3:15" ht="15" thickBot="1" x14ac:dyDescent="0.4">
      <c r="C237" s="28"/>
      <c r="D237" s="28" t="s">
        <v>712</v>
      </c>
      <c r="E237" s="4"/>
      <c r="F237" s="5"/>
      <c r="G237" s="6"/>
      <c r="H237" s="6"/>
      <c r="I237" s="6"/>
      <c r="J237" s="6"/>
      <c r="K237" s="6"/>
      <c r="L237" s="7"/>
      <c r="M237" s="53"/>
      <c r="N237" s="8"/>
      <c r="O237" s="8"/>
    </row>
    <row r="238" spans="3:15" ht="15" thickBot="1" x14ac:dyDescent="0.4">
      <c r="C238" s="28"/>
      <c r="D238" s="28" t="s">
        <v>714</v>
      </c>
      <c r="E238" s="4"/>
      <c r="F238" s="5"/>
      <c r="G238" s="6"/>
      <c r="H238" s="6"/>
      <c r="I238" s="6"/>
      <c r="J238" s="6"/>
      <c r="K238" s="6"/>
      <c r="L238" s="7"/>
      <c r="M238" s="53"/>
      <c r="N238" s="8"/>
      <c r="O238" s="8"/>
    </row>
  </sheetData>
  <sheetProtection algorithmName="SHA-512" hashValue="r4L1b3umJm7B1SI2dXezI2mxPn4eF7iKjg9yP7z8o20VyEGB/aoSf7NSnIG3I5dMk39YUc/JkaB6A7tEoppd9Q==" saltValue="x6Dfdagsmn9qY29AcSnlLQ==" spinCount="100000" sheet="1" objects="1" scenarios="1"/>
  <mergeCells count="96">
    <mergeCell ref="N229:N230"/>
    <mergeCell ref="O229:O230"/>
    <mergeCell ref="G227:H227"/>
    <mergeCell ref="C229:D230"/>
    <mergeCell ref="E229:K229"/>
    <mergeCell ref="L229:M229"/>
    <mergeCell ref="O197:O198"/>
    <mergeCell ref="G211:H211"/>
    <mergeCell ref="C213:D214"/>
    <mergeCell ref="E213:K213"/>
    <mergeCell ref="L213:M213"/>
    <mergeCell ref="N213:N214"/>
    <mergeCell ref="O213:O214"/>
    <mergeCell ref="G195:H195"/>
    <mergeCell ref="C197:D198"/>
    <mergeCell ref="E197:K197"/>
    <mergeCell ref="L197:M197"/>
    <mergeCell ref="N181:N182"/>
    <mergeCell ref="C181:D182"/>
    <mergeCell ref="E181:K181"/>
    <mergeCell ref="L181:M181"/>
    <mergeCell ref="N197:N198"/>
    <mergeCell ref="O181:O182"/>
    <mergeCell ref="N149:N150"/>
    <mergeCell ref="O149:O150"/>
    <mergeCell ref="N165:N166"/>
    <mergeCell ref="O165:O166"/>
    <mergeCell ref="C165:D166"/>
    <mergeCell ref="E165:K165"/>
    <mergeCell ref="L165:M165"/>
    <mergeCell ref="G179:H179"/>
    <mergeCell ref="C149:D150"/>
    <mergeCell ref="E149:K149"/>
    <mergeCell ref="L149:M149"/>
    <mergeCell ref="G147:H147"/>
    <mergeCell ref="G163:H163"/>
    <mergeCell ref="C119:D120"/>
    <mergeCell ref="E119:K119"/>
    <mergeCell ref="L119:M119"/>
    <mergeCell ref="N133:N134"/>
    <mergeCell ref="O133:O134"/>
    <mergeCell ref="C133:D134"/>
    <mergeCell ref="E133:K133"/>
    <mergeCell ref="L133:M133"/>
    <mergeCell ref="N119:N120"/>
    <mergeCell ref="O119:O120"/>
    <mergeCell ref="G131:H131"/>
    <mergeCell ref="C48:D49"/>
    <mergeCell ref="E48:K48"/>
    <mergeCell ref="O62:O63"/>
    <mergeCell ref="C105:D106"/>
    <mergeCell ref="N105:N106"/>
    <mergeCell ref="C62:D63"/>
    <mergeCell ref="N62:N63"/>
    <mergeCell ref="N48:N49"/>
    <mergeCell ref="O48:O49"/>
    <mergeCell ref="O105:O106"/>
    <mergeCell ref="C77:D78"/>
    <mergeCell ref="E77:K77"/>
    <mergeCell ref="L77:M77"/>
    <mergeCell ref="N77:N78"/>
    <mergeCell ref="O77:O78"/>
    <mergeCell ref="N91:N92"/>
    <mergeCell ref="O91:O92"/>
    <mergeCell ref="C91:D92"/>
    <mergeCell ref="O20:O21"/>
    <mergeCell ref="N6:N7"/>
    <mergeCell ref="C34:D35"/>
    <mergeCell ref="E34:K34"/>
    <mergeCell ref="L34:M34"/>
    <mergeCell ref="O34:O35"/>
    <mergeCell ref="C20:D21"/>
    <mergeCell ref="E20:K20"/>
    <mergeCell ref="L20:M20"/>
    <mergeCell ref="N20:N21"/>
    <mergeCell ref="O6:O7"/>
    <mergeCell ref="G18:H18"/>
    <mergeCell ref="G32:H32"/>
    <mergeCell ref="C6:D7"/>
    <mergeCell ref="N34:N35"/>
    <mergeCell ref="E6:K6"/>
    <mergeCell ref="L105:M105"/>
    <mergeCell ref="G103:H103"/>
    <mergeCell ref="G117:H117"/>
    <mergeCell ref="G4:H4"/>
    <mergeCell ref="G46:H46"/>
    <mergeCell ref="G60:H60"/>
    <mergeCell ref="E62:K62"/>
    <mergeCell ref="E105:K105"/>
    <mergeCell ref="L6:M6"/>
    <mergeCell ref="E91:K91"/>
    <mergeCell ref="L91:M91"/>
    <mergeCell ref="G75:H75"/>
    <mergeCell ref="G89:H89"/>
    <mergeCell ref="L62:M62"/>
    <mergeCell ref="L48:M48"/>
  </mergeCells>
  <conditionalFormatting sqref="C8:C12 E8:O12 E22:K26 E36:K40 E50:K54 E64:K68 E79:K83 E93:K97 E107:K111 E121:K125 E135:K139 E151:K155 E167:K171 E183:K187 E199:K203 E215:K219 E231:K235">
    <cfRule type="expression" dxfId="87" priority="151">
      <formula>$D8=0</formula>
    </cfRule>
  </conditionalFormatting>
  <conditionalFormatting sqref="B4">
    <cfRule type="expression" dxfId="86" priority="162">
      <formula>E4="yes"</formula>
    </cfRule>
  </conditionalFormatting>
  <conditionalFormatting sqref="B18">
    <cfRule type="expression" dxfId="85" priority="160">
      <formula>E18="yes"</formula>
    </cfRule>
  </conditionalFormatting>
  <conditionalFormatting sqref="B32">
    <cfRule type="expression" dxfId="84" priority="158">
      <formula>E32="yes"</formula>
    </cfRule>
  </conditionalFormatting>
  <conditionalFormatting sqref="B46">
    <cfRule type="expression" dxfId="83" priority="156">
      <formula>E46="yes"</formula>
    </cfRule>
  </conditionalFormatting>
  <conditionalFormatting sqref="B60">
    <cfRule type="expression" dxfId="82" priority="154">
      <formula>E60="yes"</formula>
    </cfRule>
  </conditionalFormatting>
  <conditionalFormatting sqref="C12">
    <cfRule type="expression" dxfId="81" priority="150">
      <formula>$D12=0</formula>
    </cfRule>
  </conditionalFormatting>
  <conditionalFormatting sqref="C22:C26">
    <cfRule type="expression" dxfId="80" priority="148">
      <formula>$D22=0</formula>
    </cfRule>
  </conditionalFormatting>
  <conditionalFormatting sqref="C26">
    <cfRule type="expression" dxfId="79" priority="147">
      <formula>$D26=0</formula>
    </cfRule>
  </conditionalFormatting>
  <conditionalFormatting sqref="C36:C40">
    <cfRule type="expression" dxfId="78" priority="145">
      <formula>$D36=0</formula>
    </cfRule>
  </conditionalFormatting>
  <conditionalFormatting sqref="C40">
    <cfRule type="expression" dxfId="77" priority="144">
      <formula>$D40=0</formula>
    </cfRule>
  </conditionalFormatting>
  <conditionalFormatting sqref="C50:C54">
    <cfRule type="expression" dxfId="76" priority="142">
      <formula>$D50=0</formula>
    </cfRule>
  </conditionalFormatting>
  <conditionalFormatting sqref="C54">
    <cfRule type="expression" dxfId="75" priority="141">
      <formula>$D54=0</formula>
    </cfRule>
  </conditionalFormatting>
  <conditionalFormatting sqref="C64:C68">
    <cfRule type="expression" dxfId="74" priority="139">
      <formula>$D64=0</formula>
    </cfRule>
  </conditionalFormatting>
  <conditionalFormatting sqref="C68">
    <cfRule type="expression" dxfId="73" priority="138">
      <formula>$D68=0</formula>
    </cfRule>
  </conditionalFormatting>
  <conditionalFormatting sqref="L22:O26">
    <cfRule type="expression" dxfId="72" priority="133">
      <formula>$D22=0</formula>
    </cfRule>
  </conditionalFormatting>
  <conditionalFormatting sqref="L36:O40">
    <cfRule type="expression" dxfId="71" priority="132">
      <formula>$D36=0</formula>
    </cfRule>
  </conditionalFormatting>
  <conditionalFormatting sqref="L50:O54">
    <cfRule type="expression" dxfId="70" priority="131">
      <formula>$D50=0</formula>
    </cfRule>
  </conditionalFormatting>
  <conditionalFormatting sqref="L64:O68">
    <cfRule type="expression" dxfId="69" priority="130">
      <formula>$D64=0</formula>
    </cfRule>
  </conditionalFormatting>
  <conditionalFormatting sqref="B75">
    <cfRule type="expression" dxfId="68" priority="125">
      <formula>E75="yes"</formula>
    </cfRule>
  </conditionalFormatting>
  <conditionalFormatting sqref="B89">
    <cfRule type="expression" dxfId="67" priority="123">
      <formula>E89="yes"</formula>
    </cfRule>
  </conditionalFormatting>
  <conditionalFormatting sqref="B103">
    <cfRule type="expression" dxfId="66" priority="121">
      <formula>E103="yes"</formula>
    </cfRule>
  </conditionalFormatting>
  <conditionalFormatting sqref="B117">
    <cfRule type="expression" dxfId="65" priority="119">
      <formula>E117="yes"</formula>
    </cfRule>
  </conditionalFormatting>
  <conditionalFormatting sqref="C79:C83">
    <cfRule type="expression" dxfId="64" priority="115">
      <formula>$D79=0</formula>
    </cfRule>
  </conditionalFormatting>
  <conditionalFormatting sqref="C83">
    <cfRule type="expression" dxfId="63" priority="114">
      <formula>$D83=0</formula>
    </cfRule>
  </conditionalFormatting>
  <conditionalFormatting sqref="C93:C97">
    <cfRule type="expression" dxfId="62" priority="112">
      <formula>$D93=0</formula>
    </cfRule>
  </conditionalFormatting>
  <conditionalFormatting sqref="C97">
    <cfRule type="expression" dxfId="61" priority="111">
      <formula>$D97=0</formula>
    </cfRule>
  </conditionalFormatting>
  <conditionalFormatting sqref="C107:C111">
    <cfRule type="expression" dxfId="60" priority="109">
      <formula>$D107=0</formula>
    </cfRule>
  </conditionalFormatting>
  <conditionalFormatting sqref="C111">
    <cfRule type="expression" dxfId="59" priority="108">
      <formula>$D111=0</formula>
    </cfRule>
  </conditionalFormatting>
  <conditionalFormatting sqref="C121:C125">
    <cfRule type="expression" dxfId="58" priority="106">
      <formula>$D121=0</formula>
    </cfRule>
  </conditionalFormatting>
  <conditionalFormatting sqref="C125">
    <cfRule type="expression" dxfId="57" priority="105">
      <formula>$D125=0</formula>
    </cfRule>
  </conditionalFormatting>
  <conditionalFormatting sqref="L79:O83">
    <cfRule type="expression" dxfId="56" priority="103">
      <formula>$D79=0</formula>
    </cfRule>
  </conditionalFormatting>
  <conditionalFormatting sqref="L93:O97">
    <cfRule type="expression" dxfId="55" priority="102">
      <formula>$D93=0</formula>
    </cfRule>
  </conditionalFormatting>
  <conditionalFormatting sqref="L107:O111">
    <cfRule type="expression" dxfId="54" priority="101">
      <formula>$D107=0</formula>
    </cfRule>
  </conditionalFormatting>
  <conditionalFormatting sqref="L121:O125">
    <cfRule type="expression" dxfId="53" priority="100">
      <formula>$D121=0</formula>
    </cfRule>
  </conditionalFormatting>
  <conditionalFormatting sqref="C135:C139">
    <cfRule type="expression" dxfId="52" priority="96">
      <formula>$D135=0</formula>
    </cfRule>
  </conditionalFormatting>
  <conditionalFormatting sqref="C139">
    <cfRule type="expression" dxfId="51" priority="95">
      <formula>$D139=0</formula>
    </cfRule>
  </conditionalFormatting>
  <conditionalFormatting sqref="L135:O139">
    <cfRule type="expression" dxfId="50" priority="93">
      <formula>$D135=0</formula>
    </cfRule>
  </conditionalFormatting>
  <conditionalFormatting sqref="C151:C155">
    <cfRule type="expression" dxfId="49" priority="91">
      <formula>$D151=0</formula>
    </cfRule>
  </conditionalFormatting>
  <conditionalFormatting sqref="C155">
    <cfRule type="expression" dxfId="48" priority="90">
      <formula>$D155=0</formula>
    </cfRule>
  </conditionalFormatting>
  <conditionalFormatting sqref="L151:O155">
    <cfRule type="expression" dxfId="47" priority="88">
      <formula>$D151=0</formula>
    </cfRule>
  </conditionalFormatting>
  <conditionalFormatting sqref="C167:C171">
    <cfRule type="expression" dxfId="46" priority="86">
      <formula>$D167=0</formula>
    </cfRule>
  </conditionalFormatting>
  <conditionalFormatting sqref="C171">
    <cfRule type="expression" dxfId="45" priority="85">
      <formula>$D171=0</formula>
    </cfRule>
  </conditionalFormatting>
  <conditionalFormatting sqref="L167:O171">
    <cfRule type="expression" dxfId="44" priority="83">
      <formula>$D167=0</formula>
    </cfRule>
  </conditionalFormatting>
  <conditionalFormatting sqref="C183:C187">
    <cfRule type="expression" dxfId="43" priority="81">
      <formula>$D183=0</formula>
    </cfRule>
  </conditionalFormatting>
  <conditionalFormatting sqref="C187">
    <cfRule type="expression" dxfId="42" priority="80">
      <formula>$D187=0</formula>
    </cfRule>
  </conditionalFormatting>
  <conditionalFormatting sqref="L183:O187">
    <cfRule type="expression" dxfId="41" priority="78">
      <formula>$D183=0</formula>
    </cfRule>
  </conditionalFormatting>
  <conditionalFormatting sqref="D8:D12">
    <cfRule type="expression" dxfId="40" priority="75">
      <formula>$D8=0</formula>
    </cfRule>
  </conditionalFormatting>
  <conditionalFormatting sqref="D12">
    <cfRule type="expression" dxfId="39" priority="74">
      <formula>$D12=0</formula>
    </cfRule>
  </conditionalFormatting>
  <conditionalFormatting sqref="D22:D26">
    <cfRule type="expression" dxfId="38" priority="71">
      <formula>$D22=0</formula>
    </cfRule>
  </conditionalFormatting>
  <conditionalFormatting sqref="D26">
    <cfRule type="expression" dxfId="37" priority="70">
      <formula>$D26=0</formula>
    </cfRule>
  </conditionalFormatting>
  <conditionalFormatting sqref="D36:D40">
    <cfRule type="expression" dxfId="36" priority="69">
      <formula>$D36=0</formula>
    </cfRule>
  </conditionalFormatting>
  <conditionalFormatting sqref="D40">
    <cfRule type="expression" dxfId="35" priority="68">
      <formula>$D40=0</formula>
    </cfRule>
  </conditionalFormatting>
  <conditionalFormatting sqref="D50:D54">
    <cfRule type="expression" dxfId="34" priority="67">
      <formula>$D50=0</formula>
    </cfRule>
  </conditionalFormatting>
  <conditionalFormatting sqref="D54">
    <cfRule type="expression" dxfId="33" priority="66">
      <formula>$D54=0</formula>
    </cfRule>
  </conditionalFormatting>
  <conditionalFormatting sqref="D64:D68">
    <cfRule type="expression" dxfId="32" priority="65">
      <formula>$D64=0</formula>
    </cfRule>
  </conditionalFormatting>
  <conditionalFormatting sqref="D68">
    <cfRule type="expression" dxfId="31" priority="64">
      <formula>$D68=0</formula>
    </cfRule>
  </conditionalFormatting>
  <conditionalFormatting sqref="D79:D83">
    <cfRule type="expression" dxfId="30" priority="59">
      <formula>$D79=0</formula>
    </cfRule>
  </conditionalFormatting>
  <conditionalFormatting sqref="D83">
    <cfRule type="expression" dxfId="29" priority="58">
      <formula>$D83=0</formula>
    </cfRule>
  </conditionalFormatting>
  <conditionalFormatting sqref="D93:D97">
    <cfRule type="expression" dxfId="28" priority="57">
      <formula>$D93=0</formula>
    </cfRule>
  </conditionalFormatting>
  <conditionalFormatting sqref="D97">
    <cfRule type="expression" dxfId="27" priority="56">
      <formula>$D97=0</formula>
    </cfRule>
  </conditionalFormatting>
  <conditionalFormatting sqref="D107:D111">
    <cfRule type="expression" dxfId="26" priority="55">
      <formula>$D107=0</formula>
    </cfRule>
  </conditionalFormatting>
  <conditionalFormatting sqref="D111">
    <cfRule type="expression" dxfId="25" priority="54">
      <formula>$D111=0</formula>
    </cfRule>
  </conditionalFormatting>
  <conditionalFormatting sqref="D121:D125">
    <cfRule type="expression" dxfId="24" priority="53">
      <formula>$D121=0</formula>
    </cfRule>
  </conditionalFormatting>
  <conditionalFormatting sqref="D125">
    <cfRule type="expression" dxfId="23" priority="52">
      <formula>$D125=0</formula>
    </cfRule>
  </conditionalFormatting>
  <conditionalFormatting sqref="D135:D139">
    <cfRule type="expression" dxfId="22" priority="51">
      <formula>$D135=0</formula>
    </cfRule>
  </conditionalFormatting>
  <conditionalFormatting sqref="D139">
    <cfRule type="expression" dxfId="21" priority="50">
      <formula>$D139=0</formula>
    </cfRule>
  </conditionalFormatting>
  <conditionalFormatting sqref="D151:D155">
    <cfRule type="expression" dxfId="20" priority="49">
      <formula>$D151=0</formula>
    </cfRule>
  </conditionalFormatting>
  <conditionalFormatting sqref="D155">
    <cfRule type="expression" dxfId="19" priority="48">
      <formula>$D155=0</formula>
    </cfRule>
  </conditionalFormatting>
  <conditionalFormatting sqref="D167:D171">
    <cfRule type="expression" dxfId="18" priority="47">
      <formula>$D167=0</formula>
    </cfRule>
  </conditionalFormatting>
  <conditionalFormatting sqref="D171">
    <cfRule type="expression" dxfId="17" priority="46">
      <formula>$D171=0</formula>
    </cfRule>
  </conditionalFormatting>
  <conditionalFormatting sqref="D183:D187">
    <cfRule type="expression" dxfId="16" priority="45">
      <formula>$D183=0</formula>
    </cfRule>
  </conditionalFormatting>
  <conditionalFormatting sqref="D187">
    <cfRule type="expression" dxfId="15" priority="44">
      <formula>$D187=0</formula>
    </cfRule>
  </conditionalFormatting>
  <conditionalFormatting sqref="C199:C203">
    <cfRule type="expression" dxfId="14" priority="24">
      <formula>$D199=0</formula>
    </cfRule>
  </conditionalFormatting>
  <conditionalFormatting sqref="C203">
    <cfRule type="expression" dxfId="13" priority="23">
      <formula>$D203=0</formula>
    </cfRule>
  </conditionalFormatting>
  <conditionalFormatting sqref="L199:O203">
    <cfRule type="expression" dxfId="12" priority="22">
      <formula>$D199=0</formula>
    </cfRule>
  </conditionalFormatting>
  <conditionalFormatting sqref="D199:D203">
    <cfRule type="expression" dxfId="11" priority="21">
      <formula>$D199=0</formula>
    </cfRule>
  </conditionalFormatting>
  <conditionalFormatting sqref="D203">
    <cfRule type="expression" dxfId="10" priority="20">
      <formula>$D203=0</formula>
    </cfRule>
  </conditionalFormatting>
  <conditionalFormatting sqref="C215:C219">
    <cfRule type="expression" dxfId="9" priority="16">
      <formula>$D215=0</formula>
    </cfRule>
  </conditionalFormatting>
  <conditionalFormatting sqref="C219">
    <cfRule type="expression" dxfId="8" priority="15">
      <formula>$D219=0</formula>
    </cfRule>
  </conditionalFormatting>
  <conditionalFormatting sqref="L215:O219">
    <cfRule type="expression" dxfId="7" priority="14">
      <formula>$D215=0</formula>
    </cfRule>
  </conditionalFormatting>
  <conditionalFormatting sqref="D215:D219">
    <cfRule type="expression" dxfId="6" priority="13">
      <formula>$D215=0</formula>
    </cfRule>
  </conditionalFormatting>
  <conditionalFormatting sqref="D219">
    <cfRule type="expression" dxfId="5" priority="12">
      <formula>$D219=0</formula>
    </cfRule>
  </conditionalFormatting>
  <conditionalFormatting sqref="C231:C235">
    <cfRule type="expression" dxfId="4" priority="8">
      <formula>$D231=0</formula>
    </cfRule>
  </conditionalFormatting>
  <conditionalFormatting sqref="C235">
    <cfRule type="expression" dxfId="3" priority="7">
      <formula>$D235=0</formula>
    </cfRule>
  </conditionalFormatting>
  <conditionalFormatting sqref="L231:O235">
    <cfRule type="expression" dxfId="2" priority="6">
      <formula>$D231=0</formula>
    </cfRule>
  </conditionalFormatting>
  <conditionalFormatting sqref="D231:D235">
    <cfRule type="expression" dxfId="1" priority="5">
      <formula>$D231=0</formula>
    </cfRule>
  </conditionalFormatting>
  <conditionalFormatting sqref="D235">
    <cfRule type="expression" dxfId="0" priority="4">
      <formula>$D235=0</formula>
    </cfRule>
  </conditionalFormatting>
  <pageMargins left="0.7" right="0.7" top="0.78740157499999996" bottom="0.78740157499999996"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J92"/>
  <sheetViews>
    <sheetView topLeftCell="A61" workbookViewId="0">
      <selection activeCell="C70" sqref="C70"/>
    </sheetView>
  </sheetViews>
  <sheetFormatPr defaultRowHeight="14.5" x14ac:dyDescent="0.35"/>
  <cols>
    <col min="1" max="1" width="18.08984375" customWidth="1"/>
    <col min="3" max="3" width="21.453125" bestFit="1" customWidth="1"/>
    <col min="4" max="4" width="18.54296875" customWidth="1"/>
    <col min="9" max="9" width="20.453125" customWidth="1"/>
    <col min="10" max="10" width="18.90625" customWidth="1"/>
  </cols>
  <sheetData>
    <row r="2" spans="1:10" x14ac:dyDescent="0.35">
      <c r="A2" t="s">
        <v>815</v>
      </c>
      <c r="C2" s="79" t="s">
        <v>693</v>
      </c>
      <c r="D2" s="79" t="s">
        <v>1012</v>
      </c>
      <c r="G2" t="s">
        <v>863</v>
      </c>
      <c r="I2" s="79" t="s">
        <v>896</v>
      </c>
      <c r="J2" s="79" t="s">
        <v>897</v>
      </c>
    </row>
    <row r="3" spans="1:10" x14ac:dyDescent="0.35">
      <c r="C3" t="s">
        <v>818</v>
      </c>
      <c r="D3" t="s">
        <v>819</v>
      </c>
      <c r="J3" t="s">
        <v>987</v>
      </c>
    </row>
    <row r="4" spans="1:10" x14ac:dyDescent="0.35">
      <c r="C4" t="s">
        <v>817</v>
      </c>
      <c r="D4" t="s">
        <v>820</v>
      </c>
      <c r="J4" t="s">
        <v>988</v>
      </c>
    </row>
    <row r="5" spans="1:10" x14ac:dyDescent="0.35">
      <c r="C5" t="s">
        <v>816</v>
      </c>
      <c r="D5" t="s">
        <v>821</v>
      </c>
    </row>
    <row r="6" spans="1:10" x14ac:dyDescent="0.35">
      <c r="C6" s="3" t="s">
        <v>822</v>
      </c>
      <c r="D6" t="s">
        <v>822</v>
      </c>
    </row>
    <row r="7" spans="1:10" x14ac:dyDescent="0.35">
      <c r="C7" s="3"/>
      <c r="G7" t="s">
        <v>879</v>
      </c>
    </row>
    <row r="8" spans="1:10" x14ac:dyDescent="0.35">
      <c r="C8" s="3"/>
      <c r="G8" t="s">
        <v>880</v>
      </c>
      <c r="I8" t="s">
        <v>881</v>
      </c>
    </row>
    <row r="9" spans="1:10" x14ac:dyDescent="0.35">
      <c r="A9" t="s">
        <v>823</v>
      </c>
      <c r="C9" s="3" t="s">
        <v>824</v>
      </c>
      <c r="D9" s="82" t="s">
        <v>853</v>
      </c>
      <c r="I9" t="s">
        <v>882</v>
      </c>
    </row>
    <row r="10" spans="1:10" x14ac:dyDescent="0.35">
      <c r="C10" s="3" t="s">
        <v>825</v>
      </c>
      <c r="D10" s="82" t="s">
        <v>853</v>
      </c>
      <c r="I10" t="s">
        <v>883</v>
      </c>
    </row>
    <row r="11" spans="1:10" x14ac:dyDescent="0.35">
      <c r="C11" s="3" t="s">
        <v>826</v>
      </c>
      <c r="D11" s="83" t="s">
        <v>854</v>
      </c>
    </row>
    <row r="12" spans="1:10" x14ac:dyDescent="0.35">
      <c r="C12" s="3" t="s">
        <v>827</v>
      </c>
      <c r="D12" s="83" t="s">
        <v>854</v>
      </c>
      <c r="G12" t="s">
        <v>884</v>
      </c>
      <c r="I12" t="s">
        <v>891</v>
      </c>
    </row>
    <row r="13" spans="1:10" x14ac:dyDescent="0.35">
      <c r="C13" s="3" t="s">
        <v>828</v>
      </c>
      <c r="D13" s="84" t="s">
        <v>855</v>
      </c>
      <c r="I13" t="s">
        <v>885</v>
      </c>
    </row>
    <row r="14" spans="1:10" x14ac:dyDescent="0.35">
      <c r="C14" s="3" t="s">
        <v>829</v>
      </c>
      <c r="D14" s="85" t="s">
        <v>856</v>
      </c>
      <c r="I14" t="s">
        <v>893</v>
      </c>
    </row>
    <row r="15" spans="1:10" x14ac:dyDescent="0.35">
      <c r="C15" s="3" t="s">
        <v>830</v>
      </c>
      <c r="D15" s="86" t="s">
        <v>857</v>
      </c>
      <c r="I15" t="s">
        <v>894</v>
      </c>
    </row>
    <row r="16" spans="1:10" x14ac:dyDescent="0.35">
      <c r="C16" s="3" t="s">
        <v>831</v>
      </c>
      <c r="D16" s="85" t="s">
        <v>856</v>
      </c>
      <c r="I16" t="s">
        <v>892</v>
      </c>
    </row>
    <row r="17" spans="3:10" x14ac:dyDescent="0.35">
      <c r="C17" s="3" t="s">
        <v>832</v>
      </c>
      <c r="D17" s="86" t="s">
        <v>857</v>
      </c>
    </row>
    <row r="18" spans="3:10" x14ac:dyDescent="0.35">
      <c r="C18" s="3" t="s">
        <v>833</v>
      </c>
      <c r="D18" s="82" t="s">
        <v>853</v>
      </c>
      <c r="G18" t="s">
        <v>888</v>
      </c>
      <c r="I18" t="s">
        <v>889</v>
      </c>
    </row>
    <row r="19" spans="3:10" x14ac:dyDescent="0.35">
      <c r="C19" s="3" t="s">
        <v>834</v>
      </c>
      <c r="D19" s="82" t="s">
        <v>853</v>
      </c>
      <c r="I19" t="s">
        <v>890</v>
      </c>
    </row>
    <row r="20" spans="3:10" x14ac:dyDescent="0.35">
      <c r="C20" s="3" t="s">
        <v>835</v>
      </c>
      <c r="D20" s="84" t="s">
        <v>855</v>
      </c>
    </row>
    <row r="21" spans="3:10" x14ac:dyDescent="0.35">
      <c r="C21" s="3" t="s">
        <v>836</v>
      </c>
      <c r="D21" s="83" t="s">
        <v>854</v>
      </c>
      <c r="G21" t="s">
        <v>895</v>
      </c>
      <c r="I21" t="s">
        <v>992</v>
      </c>
    </row>
    <row r="22" spans="3:10" x14ac:dyDescent="0.35">
      <c r="C22" s="3" t="s">
        <v>1059</v>
      </c>
      <c r="D22" s="86" t="s">
        <v>858</v>
      </c>
      <c r="I22" t="s">
        <v>991</v>
      </c>
    </row>
    <row r="23" spans="3:10" x14ac:dyDescent="0.35">
      <c r="C23" s="3" t="s">
        <v>837</v>
      </c>
      <c r="D23" s="82" t="s">
        <v>853</v>
      </c>
      <c r="G23" t="s">
        <v>927</v>
      </c>
    </row>
    <row r="24" spans="3:10" x14ac:dyDescent="0.35">
      <c r="C24" s="3" t="s">
        <v>838</v>
      </c>
      <c r="D24" s="84" t="s">
        <v>855</v>
      </c>
      <c r="G24" t="s">
        <v>884</v>
      </c>
      <c r="I24" t="s">
        <v>928</v>
      </c>
    </row>
    <row r="25" spans="3:10" x14ac:dyDescent="0.35">
      <c r="C25" s="3" t="s">
        <v>839</v>
      </c>
      <c r="D25" s="85" t="s">
        <v>856</v>
      </c>
      <c r="I25" t="s">
        <v>1065</v>
      </c>
    </row>
    <row r="26" spans="3:10" x14ac:dyDescent="0.35">
      <c r="C26" s="3" t="s">
        <v>1062</v>
      </c>
      <c r="D26" s="82" t="s">
        <v>853</v>
      </c>
    </row>
    <row r="27" spans="3:10" x14ac:dyDescent="0.35">
      <c r="C27" s="3" t="s">
        <v>840</v>
      </c>
      <c r="D27" s="85" t="s">
        <v>856</v>
      </c>
      <c r="G27" t="s">
        <v>889</v>
      </c>
      <c r="I27" s="3" t="s">
        <v>889</v>
      </c>
      <c r="J27" s="2"/>
    </row>
    <row r="28" spans="3:10" x14ac:dyDescent="0.35">
      <c r="C28" s="3" t="s">
        <v>841</v>
      </c>
      <c r="D28" s="82" t="s">
        <v>853</v>
      </c>
      <c r="I28" s="3" t="s">
        <v>890</v>
      </c>
      <c r="J28" s="2"/>
    </row>
    <row r="29" spans="3:10" x14ac:dyDescent="0.35">
      <c r="C29" s="3" t="s">
        <v>842</v>
      </c>
      <c r="D29" s="84" t="s">
        <v>855</v>
      </c>
      <c r="I29" s="2"/>
      <c r="J29" s="2"/>
    </row>
    <row r="30" spans="3:10" x14ac:dyDescent="0.35">
      <c r="C30" s="3" t="s">
        <v>843</v>
      </c>
      <c r="D30" s="82" t="s">
        <v>853</v>
      </c>
      <c r="G30" t="s">
        <v>929</v>
      </c>
      <c r="I30" s="3" t="s">
        <v>989</v>
      </c>
    </row>
    <row r="31" spans="3:10" x14ac:dyDescent="0.35">
      <c r="C31" s="3" t="s">
        <v>1060</v>
      </c>
      <c r="D31" s="86" t="s">
        <v>858</v>
      </c>
      <c r="I31" s="3" t="s">
        <v>990</v>
      </c>
    </row>
    <row r="32" spans="3:10" x14ac:dyDescent="0.35">
      <c r="C32" s="3" t="s">
        <v>844</v>
      </c>
      <c r="D32" s="85" t="s">
        <v>856</v>
      </c>
      <c r="I32" s="2"/>
    </row>
    <row r="33" spans="1:9" x14ac:dyDescent="0.35">
      <c r="C33" s="3" t="s">
        <v>845</v>
      </c>
      <c r="D33" s="84" t="s">
        <v>855</v>
      </c>
      <c r="G33" t="s">
        <v>930</v>
      </c>
      <c r="I33" s="3"/>
    </row>
    <row r="34" spans="1:9" x14ac:dyDescent="0.35">
      <c r="C34" s="3" t="s">
        <v>846</v>
      </c>
      <c r="D34" s="83" t="s">
        <v>854</v>
      </c>
      <c r="G34" s="3" t="s">
        <v>880</v>
      </c>
      <c r="H34" s="3"/>
      <c r="I34" s="3" t="s">
        <v>881</v>
      </c>
    </row>
    <row r="35" spans="1:9" x14ac:dyDescent="0.35">
      <c r="C35" s="3" t="s">
        <v>847</v>
      </c>
      <c r="D35" s="85" t="s">
        <v>856</v>
      </c>
      <c r="G35" s="3"/>
      <c r="H35" s="3"/>
      <c r="I35" s="3" t="s">
        <v>882</v>
      </c>
    </row>
    <row r="36" spans="1:9" x14ac:dyDescent="0.35">
      <c r="C36" s="3" t="s">
        <v>848</v>
      </c>
      <c r="D36" s="83" t="s">
        <v>854</v>
      </c>
      <c r="G36" s="3"/>
      <c r="H36" s="3"/>
      <c r="I36" s="3" t="s">
        <v>883</v>
      </c>
    </row>
    <row r="37" spans="1:9" x14ac:dyDescent="0.35">
      <c r="C37" s="3" t="s">
        <v>849</v>
      </c>
      <c r="D37" s="84" t="s">
        <v>855</v>
      </c>
    </row>
    <row r="38" spans="1:9" x14ac:dyDescent="0.35">
      <c r="C38" s="3" t="s">
        <v>850</v>
      </c>
      <c r="D38" s="86" t="s">
        <v>858</v>
      </c>
      <c r="G38" s="3" t="s">
        <v>888</v>
      </c>
      <c r="H38" s="3"/>
      <c r="I38" s="3" t="s">
        <v>889</v>
      </c>
    </row>
    <row r="39" spans="1:9" x14ac:dyDescent="0.35">
      <c r="C39" s="3" t="s">
        <v>1061</v>
      </c>
      <c r="D39" s="82" t="s">
        <v>853</v>
      </c>
      <c r="G39" s="3"/>
      <c r="H39" s="3"/>
      <c r="I39" s="3" t="s">
        <v>890</v>
      </c>
    </row>
    <row r="40" spans="1:9" x14ac:dyDescent="0.35">
      <c r="C40" s="3" t="s">
        <v>851</v>
      </c>
      <c r="D40" s="82" t="s">
        <v>853</v>
      </c>
    </row>
    <row r="41" spans="1:9" x14ac:dyDescent="0.35">
      <c r="C41" s="3" t="s">
        <v>1063</v>
      </c>
      <c r="D41" s="3" t="s">
        <v>1064</v>
      </c>
      <c r="G41" s="3" t="s">
        <v>895</v>
      </c>
      <c r="H41" s="3"/>
      <c r="I41" s="3" t="s">
        <v>992</v>
      </c>
    </row>
    <row r="42" spans="1:9" x14ac:dyDescent="0.35">
      <c r="G42" s="3"/>
      <c r="H42" s="3"/>
      <c r="I42" s="3" t="s">
        <v>991</v>
      </c>
    </row>
    <row r="44" spans="1:9" x14ac:dyDescent="0.35">
      <c r="G44" t="s">
        <v>933</v>
      </c>
    </row>
    <row r="45" spans="1:9" x14ac:dyDescent="0.35">
      <c r="A45" t="s">
        <v>869</v>
      </c>
      <c r="C45" t="s">
        <v>1069</v>
      </c>
      <c r="G45" t="s">
        <v>934</v>
      </c>
      <c r="I45" t="s">
        <v>917</v>
      </c>
    </row>
    <row r="46" spans="1:9" x14ac:dyDescent="0.35">
      <c r="C46" t="s">
        <v>1070</v>
      </c>
      <c r="I46" t="s">
        <v>937</v>
      </c>
    </row>
    <row r="47" spans="1:9" x14ac:dyDescent="0.35">
      <c r="C47" t="s">
        <v>871</v>
      </c>
    </row>
    <row r="48" spans="1:9" x14ac:dyDescent="0.35">
      <c r="C48" t="s">
        <v>870</v>
      </c>
    </row>
    <row r="49" spans="1:9" x14ac:dyDescent="0.35">
      <c r="C49" t="s">
        <v>872</v>
      </c>
      <c r="G49" t="s">
        <v>939</v>
      </c>
      <c r="I49" t="s">
        <v>935</v>
      </c>
    </row>
    <row r="50" spans="1:9" x14ac:dyDescent="0.35">
      <c r="C50" t="s">
        <v>873</v>
      </c>
      <c r="I50" t="s">
        <v>936</v>
      </c>
    </row>
    <row r="51" spans="1:9" x14ac:dyDescent="0.35">
      <c r="I51" t="s">
        <v>1030</v>
      </c>
    </row>
    <row r="52" spans="1:9" x14ac:dyDescent="0.35">
      <c r="A52" t="s">
        <v>874</v>
      </c>
      <c r="C52" t="s">
        <v>875</v>
      </c>
    </row>
    <row r="53" spans="1:9" x14ac:dyDescent="0.35">
      <c r="C53" t="s">
        <v>876</v>
      </c>
      <c r="G53" t="s">
        <v>938</v>
      </c>
      <c r="I53" t="s">
        <v>993</v>
      </c>
    </row>
    <row r="54" spans="1:9" x14ac:dyDescent="0.35">
      <c r="C54" t="s">
        <v>1057</v>
      </c>
      <c r="I54" t="s">
        <v>994</v>
      </c>
    </row>
    <row r="55" spans="1:9" s="3" customFormat="1" x14ac:dyDescent="0.35">
      <c r="A55"/>
      <c r="B55"/>
      <c r="C55" t="s">
        <v>877</v>
      </c>
    </row>
    <row r="56" spans="1:9" s="3" customFormat="1" x14ac:dyDescent="0.35">
      <c r="C56" s="3" t="s">
        <v>1068</v>
      </c>
    </row>
    <row r="58" spans="1:9" x14ac:dyDescent="0.35">
      <c r="A58" t="s">
        <v>878</v>
      </c>
      <c r="C58" t="s">
        <v>1000</v>
      </c>
    </row>
    <row r="59" spans="1:9" x14ac:dyDescent="0.35">
      <c r="C59" t="s">
        <v>1001</v>
      </c>
      <c r="G59" t="s">
        <v>940</v>
      </c>
      <c r="I59" t="s">
        <v>995</v>
      </c>
    </row>
    <row r="60" spans="1:9" x14ac:dyDescent="0.35">
      <c r="I60" t="s">
        <v>996</v>
      </c>
    </row>
    <row r="61" spans="1:9" x14ac:dyDescent="0.35">
      <c r="A61" t="s">
        <v>949</v>
      </c>
      <c r="C61" t="s">
        <v>950</v>
      </c>
    </row>
    <row r="62" spans="1:9" x14ac:dyDescent="0.35">
      <c r="C62" t="s">
        <v>951</v>
      </c>
      <c r="G62" t="s">
        <v>941</v>
      </c>
    </row>
    <row r="63" spans="1:9" x14ac:dyDescent="0.35">
      <c r="G63" t="s">
        <v>942</v>
      </c>
      <c r="I63" t="s">
        <v>1040</v>
      </c>
    </row>
    <row r="64" spans="1:9" x14ac:dyDescent="0.35">
      <c r="A64" s="3" t="s">
        <v>974</v>
      </c>
      <c r="B64" s="3"/>
      <c r="I64" t="s">
        <v>133</v>
      </c>
    </row>
    <row r="65" spans="1:9" x14ac:dyDescent="0.35">
      <c r="A65" t="s">
        <v>37</v>
      </c>
      <c r="B65">
        <v>5</v>
      </c>
    </row>
    <row r="66" spans="1:9" x14ac:dyDescent="0.35">
      <c r="A66" t="s">
        <v>916</v>
      </c>
      <c r="B66" s="3">
        <f>B65+1</f>
        <v>6</v>
      </c>
      <c r="G66" t="s">
        <v>944</v>
      </c>
    </row>
    <row r="67" spans="1:9" x14ac:dyDescent="0.35">
      <c r="A67" t="s">
        <v>749</v>
      </c>
      <c r="B67" s="3">
        <f t="shared" ref="B67:B73" si="0">B66+1</f>
        <v>7</v>
      </c>
    </row>
    <row r="68" spans="1:9" x14ac:dyDescent="0.35">
      <c r="A68" t="s">
        <v>918</v>
      </c>
      <c r="B68" s="3">
        <f t="shared" si="0"/>
        <v>8</v>
      </c>
      <c r="G68" t="s">
        <v>945</v>
      </c>
      <c r="I68" t="s">
        <v>1044</v>
      </c>
    </row>
    <row r="69" spans="1:9" x14ac:dyDescent="0.35">
      <c r="A69" t="s">
        <v>778</v>
      </c>
      <c r="B69" s="3">
        <f t="shared" si="0"/>
        <v>9</v>
      </c>
      <c r="I69" t="s">
        <v>1045</v>
      </c>
    </row>
    <row r="70" spans="1:9" x14ac:dyDescent="0.35">
      <c r="A70" t="s">
        <v>922</v>
      </c>
      <c r="B70" s="3">
        <f t="shared" si="0"/>
        <v>10</v>
      </c>
    </row>
    <row r="71" spans="1:9" x14ac:dyDescent="0.35">
      <c r="A71" t="s">
        <v>919</v>
      </c>
      <c r="B71" s="3">
        <f t="shared" si="0"/>
        <v>11</v>
      </c>
      <c r="G71" s="3" t="s">
        <v>1043</v>
      </c>
      <c r="H71" s="3"/>
      <c r="I71" s="3" t="s">
        <v>889</v>
      </c>
    </row>
    <row r="72" spans="1:9" x14ac:dyDescent="0.35">
      <c r="A72" t="s">
        <v>898</v>
      </c>
      <c r="B72" s="3">
        <f t="shared" si="0"/>
        <v>12</v>
      </c>
      <c r="G72" s="3"/>
      <c r="H72" s="3"/>
      <c r="I72" s="3" t="s">
        <v>890</v>
      </c>
    </row>
    <row r="73" spans="1:9" x14ac:dyDescent="0.35">
      <c r="A73" t="s">
        <v>920</v>
      </c>
      <c r="B73" s="3">
        <f t="shared" si="0"/>
        <v>13</v>
      </c>
    </row>
    <row r="74" spans="1:9" x14ac:dyDescent="0.35">
      <c r="G74" t="s">
        <v>946</v>
      </c>
      <c r="I74" t="s">
        <v>946</v>
      </c>
    </row>
    <row r="75" spans="1:9" x14ac:dyDescent="0.35">
      <c r="A75" t="s">
        <v>975</v>
      </c>
      <c r="I75" t="s">
        <v>1042</v>
      </c>
    </row>
    <row r="76" spans="1:9" x14ac:dyDescent="0.35">
      <c r="A76" t="s">
        <v>857</v>
      </c>
      <c r="B76">
        <f>COLUMN(Weightings!A31)</f>
        <v>1</v>
      </c>
    </row>
    <row r="77" spans="1:9" x14ac:dyDescent="0.35">
      <c r="A77" t="s">
        <v>853</v>
      </c>
      <c r="B77">
        <f>COLUMN(Weightings!K31)</f>
        <v>11</v>
      </c>
      <c r="G77" t="s">
        <v>898</v>
      </c>
    </row>
    <row r="78" spans="1:9" x14ac:dyDescent="0.35">
      <c r="A78" t="s">
        <v>855</v>
      </c>
      <c r="B78">
        <f>COLUMN(Weightings!U31)</f>
        <v>21</v>
      </c>
      <c r="G78" t="s">
        <v>948</v>
      </c>
      <c r="I78" t="s">
        <v>997</v>
      </c>
    </row>
    <row r="79" spans="1:9" x14ac:dyDescent="0.35">
      <c r="A79" t="s">
        <v>856</v>
      </c>
      <c r="B79">
        <f>COLUMN(Weightings!AD31)</f>
        <v>30</v>
      </c>
      <c r="I79" t="s">
        <v>998</v>
      </c>
    </row>
    <row r="80" spans="1:9" x14ac:dyDescent="0.35">
      <c r="A80" t="s">
        <v>854</v>
      </c>
      <c r="B80">
        <f>COLUMN(Weightings!AM31)</f>
        <v>39</v>
      </c>
    </row>
    <row r="81" spans="1:9" s="3" customFormat="1" x14ac:dyDescent="0.35">
      <c r="G81" s="3" t="s">
        <v>1066</v>
      </c>
      <c r="I81" s="3" t="s">
        <v>1066</v>
      </c>
    </row>
    <row r="82" spans="1:9" x14ac:dyDescent="0.35">
      <c r="A82" t="s">
        <v>1013</v>
      </c>
      <c r="G82" s="3"/>
      <c r="H82" s="3"/>
      <c r="I82" s="3" t="s">
        <v>999</v>
      </c>
    </row>
    <row r="83" spans="1:9" x14ac:dyDescent="0.35">
      <c r="A83" s="345" t="s">
        <v>1014</v>
      </c>
    </row>
    <row r="85" spans="1:9" x14ac:dyDescent="0.35">
      <c r="A85" s="3" t="s">
        <v>37</v>
      </c>
      <c r="B85" s="3">
        <v>44</v>
      </c>
    </row>
    <row r="86" spans="1:9" x14ac:dyDescent="0.35">
      <c r="A86" s="3" t="s">
        <v>927</v>
      </c>
      <c r="B86" s="3">
        <f>B85+1</f>
        <v>45</v>
      </c>
    </row>
    <row r="87" spans="1:9" x14ac:dyDescent="0.35">
      <c r="A87" s="3" t="s">
        <v>749</v>
      </c>
      <c r="B87" s="3">
        <f t="shared" ref="B87:B92" si="1">B86+1</f>
        <v>46</v>
      </c>
    </row>
    <row r="88" spans="1:9" x14ac:dyDescent="0.35">
      <c r="A88" s="3" t="s">
        <v>918</v>
      </c>
      <c r="B88" s="3">
        <f t="shared" si="1"/>
        <v>47</v>
      </c>
    </row>
    <row r="89" spans="1:9" x14ac:dyDescent="0.35">
      <c r="A89" s="3" t="s">
        <v>778</v>
      </c>
      <c r="B89" s="3">
        <f t="shared" si="1"/>
        <v>48</v>
      </c>
    </row>
    <row r="90" spans="1:9" x14ac:dyDescent="0.35">
      <c r="A90" s="3" t="s">
        <v>919</v>
      </c>
      <c r="B90" s="3">
        <f t="shared" si="1"/>
        <v>49</v>
      </c>
    </row>
    <row r="91" spans="1:9" x14ac:dyDescent="0.35">
      <c r="A91" s="3" t="s">
        <v>345</v>
      </c>
      <c r="B91" s="3">
        <f t="shared" si="1"/>
        <v>50</v>
      </c>
    </row>
    <row r="92" spans="1:9" x14ac:dyDescent="0.35">
      <c r="A92" s="3" t="s">
        <v>898</v>
      </c>
      <c r="B92" s="3">
        <f t="shared" si="1"/>
        <v>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B2:J108"/>
  <sheetViews>
    <sheetView tabSelected="1" zoomScaleNormal="100" workbookViewId="0">
      <selection activeCell="G12" sqref="G12:I12"/>
    </sheetView>
  </sheetViews>
  <sheetFormatPr defaultColWidth="8.81640625" defaultRowHeight="14.5" x14ac:dyDescent="0.35"/>
  <cols>
    <col min="1" max="1" width="8.90625" style="147" customWidth="1"/>
    <col min="2" max="2" width="4.36328125" style="147" customWidth="1"/>
    <col min="3" max="4" width="8.90625" style="147"/>
    <col min="5" max="5" width="20.1796875" style="147" customWidth="1"/>
    <col min="6" max="6" width="5.1796875" style="147" customWidth="1"/>
    <col min="7" max="7" width="9.1796875" style="147" customWidth="1"/>
    <col min="8" max="8" width="3.453125" style="147" customWidth="1"/>
    <col min="9" max="9" width="25.90625" style="147" customWidth="1"/>
    <col min="10" max="11" width="8.90625" style="147" customWidth="1"/>
    <col min="12" max="16384" width="8.81640625" style="147"/>
  </cols>
  <sheetData>
    <row r="2" spans="2:10" ht="23.5" x14ac:dyDescent="0.55000000000000004">
      <c r="B2" s="384" t="s">
        <v>814</v>
      </c>
    </row>
    <row r="3" spans="2:10" ht="21.5" thickBot="1" x14ac:dyDescent="0.55000000000000004">
      <c r="B3" s="81"/>
    </row>
    <row r="4" spans="2:10" x14ac:dyDescent="0.35">
      <c r="B4" s="258"/>
      <c r="C4" s="259"/>
      <c r="D4" s="259"/>
      <c r="E4" s="259"/>
      <c r="F4" s="259"/>
      <c r="G4" s="259"/>
      <c r="H4" s="259"/>
      <c r="I4" s="259"/>
      <c r="J4" s="266"/>
    </row>
    <row r="5" spans="2:10" ht="18.5" x14ac:dyDescent="0.45">
      <c r="B5" s="260"/>
      <c r="C5" s="385" t="s">
        <v>1002</v>
      </c>
      <c r="D5" s="261"/>
      <c r="E5" s="261"/>
      <c r="F5" s="261"/>
      <c r="G5" s="261"/>
      <c r="H5" s="261"/>
      <c r="I5" s="261"/>
      <c r="J5" s="267"/>
    </row>
    <row r="6" spans="2:10" x14ac:dyDescent="0.35">
      <c r="B6" s="260"/>
      <c r="C6" s="261"/>
      <c r="D6" s="261"/>
      <c r="E6" s="261"/>
      <c r="F6" s="261"/>
      <c r="G6" s="261"/>
      <c r="H6" s="261"/>
      <c r="I6" s="261"/>
      <c r="J6" s="267"/>
    </row>
    <row r="7" spans="2:10" x14ac:dyDescent="0.35">
      <c r="B7" s="260"/>
      <c r="C7" s="261" t="s">
        <v>1003</v>
      </c>
      <c r="D7" s="261"/>
      <c r="E7" s="261"/>
      <c r="F7" s="261"/>
      <c r="G7" s="551" t="s">
        <v>1180</v>
      </c>
      <c r="H7" s="550"/>
      <c r="I7" s="550"/>
      <c r="J7" s="267"/>
    </row>
    <row r="8" spans="2:10" x14ac:dyDescent="0.35">
      <c r="B8" s="260"/>
      <c r="C8" s="261" t="s">
        <v>1004</v>
      </c>
      <c r="D8" s="261"/>
      <c r="E8" s="261"/>
      <c r="F8" s="261"/>
      <c r="G8" s="551" t="s">
        <v>1181</v>
      </c>
      <c r="H8" s="550"/>
      <c r="I8" s="550"/>
      <c r="J8" s="267"/>
    </row>
    <row r="9" spans="2:10" x14ac:dyDescent="0.35">
      <c r="B9" s="260"/>
      <c r="C9" s="261"/>
      <c r="D9" s="261"/>
      <c r="E9" s="261"/>
      <c r="F9" s="261"/>
      <c r="G9" s="261"/>
      <c r="H9" s="261"/>
      <c r="I9" s="261"/>
      <c r="J9" s="267"/>
    </row>
    <row r="10" spans="2:10" x14ac:dyDescent="0.35">
      <c r="B10" s="260"/>
      <c r="C10" s="262" t="s">
        <v>1005</v>
      </c>
      <c r="D10" s="261"/>
      <c r="E10" s="261"/>
      <c r="F10" s="261"/>
      <c r="G10" s="261"/>
      <c r="H10" s="261"/>
      <c r="I10" s="261"/>
      <c r="J10" s="267"/>
    </row>
    <row r="11" spans="2:10" x14ac:dyDescent="0.35">
      <c r="B11" s="260"/>
      <c r="C11" s="263" t="s">
        <v>1006</v>
      </c>
      <c r="D11" s="261"/>
      <c r="E11" s="261"/>
      <c r="F11" s="261"/>
      <c r="G11" s="549"/>
      <c r="H11" s="550"/>
      <c r="I11" s="550"/>
      <c r="J11" s="267"/>
    </row>
    <row r="12" spans="2:10" x14ac:dyDescent="0.35">
      <c r="B12" s="260"/>
      <c r="C12" s="263" t="s">
        <v>1007</v>
      </c>
      <c r="D12" s="261"/>
      <c r="E12" s="261"/>
      <c r="F12" s="261"/>
      <c r="G12" s="551"/>
      <c r="H12" s="550"/>
      <c r="I12" s="550"/>
      <c r="J12" s="267"/>
    </row>
    <row r="13" spans="2:10" ht="15" thickBot="1" x14ac:dyDescent="0.4">
      <c r="B13" s="264"/>
      <c r="C13" s="265"/>
      <c r="D13" s="265"/>
      <c r="E13" s="265"/>
      <c r="F13" s="265"/>
      <c r="G13" s="268"/>
      <c r="H13" s="268"/>
      <c r="I13" s="268"/>
      <c r="J13" s="269"/>
    </row>
    <row r="14" spans="2:10" ht="15" thickBot="1" x14ac:dyDescent="0.4"/>
    <row r="15" spans="2:10" x14ac:dyDescent="0.35">
      <c r="B15" s="148"/>
      <c r="C15" s="149"/>
      <c r="D15" s="149"/>
      <c r="E15" s="149"/>
      <c r="F15" s="149"/>
      <c r="G15" s="149"/>
      <c r="H15" s="149"/>
      <c r="I15" s="149"/>
      <c r="J15" s="150"/>
    </row>
    <row r="16" spans="2:10" ht="18.5" x14ac:dyDescent="0.45">
      <c r="B16" s="151"/>
      <c r="C16" s="386" t="s">
        <v>1008</v>
      </c>
      <c r="D16" s="152"/>
      <c r="E16" s="152"/>
      <c r="F16" s="152"/>
      <c r="G16" s="152"/>
      <c r="H16" s="152"/>
      <c r="I16" s="152"/>
      <c r="J16" s="153"/>
    </row>
    <row r="17" spans="2:10" x14ac:dyDescent="0.35">
      <c r="B17" s="151"/>
      <c r="C17" s="152"/>
      <c r="D17" s="152"/>
      <c r="E17" s="152"/>
      <c r="F17" s="152"/>
      <c r="G17" s="152"/>
      <c r="H17" s="152"/>
      <c r="I17" s="152"/>
      <c r="J17" s="153"/>
    </row>
    <row r="18" spans="2:10" x14ac:dyDescent="0.35">
      <c r="B18" s="151"/>
      <c r="C18" s="152" t="s">
        <v>1031</v>
      </c>
      <c r="D18" s="152"/>
      <c r="E18" s="152"/>
      <c r="F18" s="152"/>
      <c r="G18" s="546" t="s">
        <v>1012</v>
      </c>
      <c r="H18" s="546"/>
      <c r="I18" s="546"/>
      <c r="J18" s="153"/>
    </row>
    <row r="19" spans="2:10" x14ac:dyDescent="0.35">
      <c r="B19" s="151"/>
      <c r="C19" s="152" t="s">
        <v>1032</v>
      </c>
      <c r="D19" s="152"/>
      <c r="E19" s="152"/>
      <c r="F19" s="152"/>
      <c r="G19" s="546" t="s">
        <v>820</v>
      </c>
      <c r="H19" s="546"/>
      <c r="I19" s="546"/>
      <c r="J19" s="153"/>
    </row>
    <row r="20" spans="2:10" x14ac:dyDescent="0.35">
      <c r="B20" s="151"/>
      <c r="C20" s="152" t="s">
        <v>1033</v>
      </c>
      <c r="D20" s="152"/>
      <c r="E20" s="152"/>
      <c r="F20" s="152"/>
      <c r="G20" s="546" t="s">
        <v>832</v>
      </c>
      <c r="H20" s="546"/>
      <c r="I20" s="546"/>
      <c r="J20" s="153"/>
    </row>
    <row r="21" spans="2:10" x14ac:dyDescent="0.35">
      <c r="B21" s="151"/>
      <c r="C21" s="145" t="s">
        <v>859</v>
      </c>
      <c r="D21" s="152"/>
      <c r="E21" s="152"/>
      <c r="F21" s="152"/>
      <c r="G21" s="547" t="str">
        <f>IF(G20="","",VLOOKUP(G20,_general!C9:D41,2,FALSE))</f>
        <v>North Europe</v>
      </c>
      <c r="H21" s="547"/>
      <c r="I21" s="547"/>
      <c r="J21" s="153"/>
    </row>
    <row r="22" spans="2:10" x14ac:dyDescent="0.35">
      <c r="B22" s="151"/>
      <c r="C22" s="152"/>
      <c r="D22" s="152"/>
      <c r="E22" s="152"/>
      <c r="F22" s="152"/>
      <c r="G22" s="154"/>
      <c r="H22" s="154"/>
      <c r="I22" s="154"/>
      <c r="J22" s="153"/>
    </row>
    <row r="23" spans="2:10" x14ac:dyDescent="0.35">
      <c r="B23" s="151"/>
      <c r="C23" s="152" t="s">
        <v>867</v>
      </c>
      <c r="D23" s="152"/>
      <c r="E23" s="152"/>
      <c r="F23" s="152"/>
      <c r="G23" s="546"/>
      <c r="H23" s="546"/>
      <c r="I23" s="546"/>
      <c r="J23" s="153"/>
    </row>
    <row r="24" spans="2:10" x14ac:dyDescent="0.35">
      <c r="B24" s="151"/>
      <c r="C24" s="152" t="s">
        <v>868</v>
      </c>
      <c r="D24" s="152"/>
      <c r="E24" s="152"/>
      <c r="F24" s="152"/>
      <c r="G24" s="546"/>
      <c r="H24" s="546"/>
      <c r="I24" s="546"/>
      <c r="J24" s="153"/>
    </row>
    <row r="25" spans="2:10" x14ac:dyDescent="0.35">
      <c r="B25" s="151"/>
      <c r="C25" s="152" t="s">
        <v>1137</v>
      </c>
      <c r="D25" s="152"/>
      <c r="E25" s="152"/>
      <c r="F25" s="152"/>
      <c r="G25" s="546"/>
      <c r="H25" s="546"/>
      <c r="I25" s="546"/>
      <c r="J25" s="153"/>
    </row>
    <row r="26" spans="2:10" x14ac:dyDescent="0.35">
      <c r="B26" s="151"/>
      <c r="C26" s="152"/>
      <c r="D26" s="152"/>
      <c r="E26" s="152"/>
      <c r="F26" s="152"/>
      <c r="G26" s="154"/>
      <c r="H26" s="154"/>
      <c r="I26" s="154"/>
      <c r="J26" s="153"/>
    </row>
    <row r="27" spans="2:10" ht="44" customHeight="1" x14ac:dyDescent="0.35">
      <c r="B27" s="151"/>
      <c r="C27" s="541" t="s">
        <v>1058</v>
      </c>
      <c r="D27" s="541"/>
      <c r="E27" s="541"/>
      <c r="F27" s="152"/>
      <c r="G27" s="545"/>
      <c r="H27" s="545"/>
      <c r="I27" s="545"/>
      <c r="J27" s="153"/>
    </row>
    <row r="28" spans="2:10" x14ac:dyDescent="0.35">
      <c r="B28" s="151"/>
      <c r="C28" s="155"/>
      <c r="D28" s="155"/>
      <c r="E28" s="155"/>
      <c r="F28" s="152"/>
      <c r="G28" s="152"/>
      <c r="H28" s="152"/>
      <c r="I28" s="152"/>
      <c r="J28" s="153"/>
    </row>
    <row r="29" spans="2:10" x14ac:dyDescent="0.35">
      <c r="B29" s="151"/>
      <c r="C29" s="155" t="s">
        <v>1011</v>
      </c>
      <c r="D29" s="155"/>
      <c r="E29" s="155"/>
      <c r="F29" s="152"/>
      <c r="G29" s="546"/>
      <c r="H29" s="546"/>
      <c r="I29" s="546"/>
      <c r="J29" s="153"/>
    </row>
    <row r="30" spans="2:10" x14ac:dyDescent="0.35">
      <c r="B30" s="151"/>
      <c r="C30" s="155"/>
      <c r="D30" s="155"/>
      <c r="E30" s="155"/>
      <c r="F30" s="152"/>
      <c r="G30" s="546"/>
      <c r="H30" s="546"/>
      <c r="I30" s="546"/>
      <c r="J30" s="153"/>
    </row>
    <row r="31" spans="2:10" x14ac:dyDescent="0.35">
      <c r="B31" s="151"/>
      <c r="C31" s="155"/>
      <c r="D31" s="155"/>
      <c r="E31" s="155"/>
      <c r="F31" s="152"/>
      <c r="G31" s="546"/>
      <c r="H31" s="546"/>
      <c r="I31" s="546"/>
      <c r="J31" s="153"/>
    </row>
    <row r="32" spans="2:10" x14ac:dyDescent="0.35">
      <c r="B32" s="151"/>
      <c r="C32" s="155"/>
      <c r="D32" s="155"/>
      <c r="E32" s="155"/>
      <c r="F32" s="152"/>
      <c r="G32" s="152"/>
      <c r="H32" s="152"/>
      <c r="I32" s="152"/>
      <c r="J32" s="153"/>
    </row>
    <row r="33" spans="2:10" ht="14.5" customHeight="1" x14ac:dyDescent="0.35">
      <c r="B33" s="151"/>
      <c r="C33" s="541" t="s">
        <v>1034</v>
      </c>
      <c r="D33" s="541"/>
      <c r="E33" s="541"/>
      <c r="F33" s="152"/>
      <c r="G33" s="542" t="s">
        <v>950</v>
      </c>
      <c r="H33" s="543"/>
      <c r="I33" s="544"/>
      <c r="J33" s="153"/>
    </row>
    <row r="34" spans="2:10" ht="24" customHeight="1" x14ac:dyDescent="0.35">
      <c r="B34" s="151"/>
      <c r="C34" s="155"/>
      <c r="D34" s="155"/>
      <c r="E34" s="155"/>
      <c r="F34" s="152"/>
      <c r="G34" s="548" t="str">
        <f>IF(G33=_general!C62,"please make sure to fill in the user-defined weighting factors under the weightings tab!","")</f>
        <v/>
      </c>
      <c r="H34" s="548"/>
      <c r="I34" s="548"/>
      <c r="J34" s="153"/>
    </row>
    <row r="35" spans="2:10" ht="15" thickBot="1" x14ac:dyDescent="0.4">
      <c r="B35" s="156"/>
      <c r="C35" s="157"/>
      <c r="D35" s="157"/>
      <c r="E35" s="157"/>
      <c r="F35" s="157"/>
      <c r="G35" s="157"/>
      <c r="H35" s="157"/>
      <c r="I35" s="157"/>
      <c r="J35" s="158"/>
    </row>
    <row r="36" spans="2:10" ht="15" thickBot="1" x14ac:dyDescent="0.4"/>
    <row r="37" spans="2:10" x14ac:dyDescent="0.35">
      <c r="B37" s="159"/>
      <c r="C37" s="160"/>
      <c r="D37" s="160"/>
      <c r="E37" s="160"/>
      <c r="F37" s="160"/>
      <c r="G37" s="160"/>
      <c r="H37" s="160"/>
      <c r="I37" s="160"/>
      <c r="J37" s="161"/>
    </row>
    <row r="38" spans="2:10" ht="18.5" x14ac:dyDescent="0.45">
      <c r="B38" s="162"/>
      <c r="C38" s="387" t="s">
        <v>852</v>
      </c>
      <c r="D38" s="163"/>
      <c r="E38" s="163"/>
      <c r="F38" s="163"/>
      <c r="G38" s="163"/>
      <c r="H38" s="163"/>
      <c r="I38" s="163"/>
      <c r="J38" s="164"/>
    </row>
    <row r="39" spans="2:10" x14ac:dyDescent="0.35">
      <c r="B39" s="162"/>
      <c r="C39" s="163"/>
      <c r="D39" s="163"/>
      <c r="E39" s="163"/>
      <c r="F39" s="163"/>
      <c r="G39" s="163"/>
      <c r="H39" s="163"/>
      <c r="I39" s="163"/>
      <c r="J39" s="164"/>
    </row>
    <row r="40" spans="2:10" x14ac:dyDescent="0.35">
      <c r="B40" s="162"/>
      <c r="C40" s="163" t="s">
        <v>865</v>
      </c>
      <c r="D40" s="163"/>
      <c r="E40" s="163"/>
      <c r="F40" s="163"/>
      <c r="G40" s="163"/>
      <c r="H40" s="163"/>
      <c r="I40" s="163"/>
      <c r="J40" s="164"/>
    </row>
    <row r="41" spans="2:10" ht="16.5" x14ac:dyDescent="0.35">
      <c r="B41" s="162"/>
      <c r="C41" s="163" t="s">
        <v>866</v>
      </c>
      <c r="D41" s="163"/>
      <c r="E41" s="163"/>
      <c r="F41" s="163"/>
      <c r="G41" s="163"/>
      <c r="H41" s="163"/>
      <c r="I41" s="163"/>
      <c r="J41" s="164"/>
    </row>
    <row r="42" spans="2:10" x14ac:dyDescent="0.35">
      <c r="B42" s="162"/>
      <c r="C42" s="163"/>
      <c r="D42" s="163"/>
      <c r="E42" s="163"/>
      <c r="F42" s="163"/>
      <c r="G42" s="163"/>
      <c r="H42" s="163"/>
      <c r="I42" s="163"/>
      <c r="J42" s="164"/>
    </row>
    <row r="43" spans="2:10" x14ac:dyDescent="0.35">
      <c r="B43" s="162"/>
      <c r="C43" s="163"/>
      <c r="D43" s="163"/>
      <c r="E43" s="163"/>
      <c r="F43" s="163"/>
      <c r="G43" s="87" t="s">
        <v>864</v>
      </c>
      <c r="H43" s="163"/>
      <c r="I43" s="87" t="str">
        <f>IF(OR(G47="no",G50="no",G51="no"),"if no, mandatory?","")</f>
        <v/>
      </c>
      <c r="J43" s="164"/>
    </row>
    <row r="44" spans="2:10" x14ac:dyDescent="0.35">
      <c r="B44" s="162"/>
      <c r="C44" s="165" t="s">
        <v>860</v>
      </c>
      <c r="D44" s="163"/>
      <c r="E44" s="163"/>
      <c r="F44" s="163"/>
      <c r="G44" s="89" t="s">
        <v>1067</v>
      </c>
      <c r="H44" s="163"/>
      <c r="I44" s="163"/>
      <c r="J44" s="164"/>
    </row>
    <row r="45" spans="2:10" x14ac:dyDescent="0.35">
      <c r="B45" s="162"/>
      <c r="C45" s="165" t="s">
        <v>862</v>
      </c>
      <c r="D45" s="163"/>
      <c r="E45" s="163"/>
      <c r="F45" s="163"/>
      <c r="G45" s="89" t="s">
        <v>1067</v>
      </c>
      <c r="H45" s="163"/>
      <c r="I45" s="163"/>
      <c r="J45" s="164"/>
    </row>
    <row r="46" spans="2:10" x14ac:dyDescent="0.35">
      <c r="B46" s="162"/>
      <c r="C46" s="165" t="s">
        <v>861</v>
      </c>
      <c r="D46" s="163"/>
      <c r="E46" s="163"/>
      <c r="F46" s="163"/>
      <c r="G46" s="89" t="s">
        <v>1067</v>
      </c>
      <c r="H46" s="163"/>
      <c r="I46" s="163"/>
      <c r="J46" s="164"/>
    </row>
    <row r="47" spans="2:10" x14ac:dyDescent="0.35">
      <c r="B47" s="162"/>
      <c r="C47" s="165" t="s">
        <v>224</v>
      </c>
      <c r="D47" s="163"/>
      <c r="E47" s="163"/>
      <c r="F47" s="163"/>
      <c r="G47" s="89" t="s">
        <v>1067</v>
      </c>
      <c r="H47" s="163"/>
      <c r="I47" s="89"/>
      <c r="J47" s="164"/>
    </row>
    <row r="48" spans="2:10" x14ac:dyDescent="0.35">
      <c r="B48" s="162"/>
      <c r="C48" s="165" t="s">
        <v>293</v>
      </c>
      <c r="D48" s="163"/>
      <c r="E48" s="163"/>
      <c r="F48" s="163"/>
      <c r="G48" s="89" t="s">
        <v>1067</v>
      </c>
      <c r="H48" s="163"/>
      <c r="I48" s="163"/>
      <c r="J48" s="164"/>
    </row>
    <row r="49" spans="2:10" x14ac:dyDescent="0.35">
      <c r="B49" s="162"/>
      <c r="C49" s="165" t="s">
        <v>925</v>
      </c>
      <c r="D49" s="163"/>
      <c r="E49" s="163"/>
      <c r="F49" s="163"/>
      <c r="G49" s="89" t="s">
        <v>896</v>
      </c>
      <c r="H49" s="163"/>
      <c r="I49" s="163"/>
      <c r="J49" s="164"/>
    </row>
    <row r="50" spans="2:10" x14ac:dyDescent="0.35">
      <c r="B50" s="162"/>
      <c r="C50" s="165" t="s">
        <v>924</v>
      </c>
      <c r="D50" s="163"/>
      <c r="E50" s="163"/>
      <c r="F50" s="163"/>
      <c r="G50" s="89" t="s">
        <v>1067</v>
      </c>
      <c r="H50" s="163"/>
      <c r="I50" s="89"/>
      <c r="J50" s="164"/>
    </row>
    <row r="51" spans="2:10" x14ac:dyDescent="0.35">
      <c r="B51" s="162"/>
      <c r="C51" s="165" t="s">
        <v>923</v>
      </c>
      <c r="D51" s="163"/>
      <c r="E51" s="163"/>
      <c r="F51" s="163"/>
      <c r="G51" s="89" t="s">
        <v>1067</v>
      </c>
      <c r="H51" s="163"/>
      <c r="I51" s="89"/>
      <c r="J51" s="164"/>
    </row>
    <row r="52" spans="2:10" ht="15" thickBot="1" x14ac:dyDescent="0.4">
      <c r="B52" s="166"/>
      <c r="C52" s="167"/>
      <c r="D52" s="167"/>
      <c r="E52" s="167"/>
      <c r="F52" s="167"/>
      <c r="G52" s="167"/>
      <c r="H52" s="167"/>
      <c r="I52" s="167"/>
      <c r="J52" s="168"/>
    </row>
    <row r="53" spans="2:10" ht="16.5" x14ac:dyDescent="0.35">
      <c r="B53" s="147" t="s">
        <v>985</v>
      </c>
    </row>
    <row r="54" spans="2:10" ht="15" thickBot="1" x14ac:dyDescent="0.4"/>
    <row r="55" spans="2:10" x14ac:dyDescent="0.35">
      <c r="B55" s="169"/>
      <c r="C55" s="170"/>
      <c r="D55" s="170"/>
      <c r="E55" s="170"/>
      <c r="F55" s="170"/>
      <c r="G55" s="170"/>
      <c r="H55" s="170"/>
      <c r="I55" s="170"/>
      <c r="J55" s="171"/>
    </row>
    <row r="56" spans="2:10" ht="18.5" x14ac:dyDescent="0.45">
      <c r="B56" s="172"/>
      <c r="C56" s="388" t="s">
        <v>879</v>
      </c>
      <c r="D56" s="173"/>
      <c r="E56" s="173"/>
      <c r="F56" s="281" t="str">
        <f>IF(G44="no","--&gt; TBS not present, not to be assessed.","")</f>
        <v/>
      </c>
      <c r="G56" s="173"/>
      <c r="H56" s="173"/>
      <c r="I56" s="173"/>
      <c r="J56" s="174"/>
    </row>
    <row r="57" spans="2:10" x14ac:dyDescent="0.35">
      <c r="B57" s="172"/>
      <c r="C57" s="173"/>
      <c r="D57" s="173"/>
      <c r="E57" s="173"/>
      <c r="F57" s="173"/>
      <c r="G57" s="173"/>
      <c r="H57" s="173"/>
      <c r="I57" s="173"/>
      <c r="J57" s="174"/>
    </row>
    <row r="58" spans="2:10" x14ac:dyDescent="0.35">
      <c r="B58" s="172"/>
      <c r="C58" s="88" t="s">
        <v>886</v>
      </c>
      <c r="D58" s="175"/>
      <c r="E58" s="175"/>
      <c r="F58" s="175"/>
      <c r="G58" s="552" t="s">
        <v>882</v>
      </c>
      <c r="H58" s="553"/>
      <c r="I58" s="553"/>
      <c r="J58" s="174"/>
    </row>
    <row r="59" spans="2:10" x14ac:dyDescent="0.35">
      <c r="B59" s="172"/>
      <c r="C59" s="88" t="s">
        <v>887</v>
      </c>
      <c r="D59" s="175"/>
      <c r="E59" s="175"/>
      <c r="F59" s="175"/>
      <c r="G59" s="552" t="s">
        <v>885</v>
      </c>
      <c r="H59" s="553"/>
      <c r="I59" s="553"/>
      <c r="J59" s="174"/>
    </row>
    <row r="60" spans="2:10" x14ac:dyDescent="0.35">
      <c r="B60" s="172"/>
      <c r="C60" s="88" t="s">
        <v>1035</v>
      </c>
      <c r="D60" s="175"/>
      <c r="E60" s="175"/>
      <c r="F60" s="175"/>
      <c r="G60" s="552" t="s">
        <v>889</v>
      </c>
      <c r="H60" s="553"/>
      <c r="I60" s="553"/>
      <c r="J60" s="174"/>
    </row>
    <row r="61" spans="2:10" x14ac:dyDescent="0.35">
      <c r="B61" s="172"/>
      <c r="C61" s="88" t="s">
        <v>1036</v>
      </c>
      <c r="D61" s="175"/>
      <c r="E61" s="175"/>
      <c r="F61" s="175"/>
      <c r="G61" s="552" t="s">
        <v>991</v>
      </c>
      <c r="H61" s="553"/>
      <c r="I61" s="553"/>
      <c r="J61" s="174"/>
    </row>
    <row r="62" spans="2:10" ht="15" thickBot="1" x14ac:dyDescent="0.4">
      <c r="B62" s="176"/>
      <c r="C62" s="177"/>
      <c r="D62" s="177"/>
      <c r="E62" s="177"/>
      <c r="F62" s="177"/>
      <c r="G62" s="177"/>
      <c r="H62" s="177"/>
      <c r="I62" s="177"/>
      <c r="J62" s="178"/>
    </row>
    <row r="63" spans="2:10" ht="15" thickBot="1" x14ac:dyDescent="0.4"/>
    <row r="64" spans="2:10" x14ac:dyDescent="0.35">
      <c r="B64" s="179"/>
      <c r="C64" s="180"/>
      <c r="D64" s="180"/>
      <c r="E64" s="180"/>
      <c r="F64" s="180"/>
      <c r="G64" s="180"/>
      <c r="H64" s="180"/>
      <c r="I64" s="180"/>
      <c r="J64" s="181"/>
    </row>
    <row r="65" spans="2:10" ht="18.5" x14ac:dyDescent="0.45">
      <c r="B65" s="182"/>
      <c r="C65" s="389" t="s">
        <v>926</v>
      </c>
      <c r="D65" s="183"/>
      <c r="E65" s="183"/>
      <c r="F65" s="282" t="str">
        <f>IF(G45="no","--&gt; TBS not present, not to be assessed.","")</f>
        <v/>
      </c>
      <c r="G65" s="183"/>
      <c r="H65" s="183"/>
      <c r="I65" s="183"/>
      <c r="J65" s="184"/>
    </row>
    <row r="66" spans="2:10" x14ac:dyDescent="0.35">
      <c r="B66" s="182"/>
      <c r="C66" s="183"/>
      <c r="D66" s="183"/>
      <c r="E66" s="183"/>
      <c r="F66" s="183"/>
      <c r="G66" s="183"/>
      <c r="H66" s="183"/>
      <c r="I66" s="183"/>
      <c r="J66" s="184"/>
    </row>
    <row r="67" spans="2:10" x14ac:dyDescent="0.35">
      <c r="B67" s="182"/>
      <c r="C67" s="185" t="s">
        <v>887</v>
      </c>
      <c r="D67" s="186"/>
      <c r="E67" s="186"/>
      <c r="F67" s="186"/>
      <c r="G67" s="552" t="s">
        <v>928</v>
      </c>
      <c r="H67" s="553"/>
      <c r="I67" s="553"/>
      <c r="J67" s="184"/>
    </row>
    <row r="68" spans="2:10" x14ac:dyDescent="0.35">
      <c r="B68" s="182"/>
      <c r="C68" s="185" t="s">
        <v>889</v>
      </c>
      <c r="D68" s="186"/>
      <c r="E68" s="186"/>
      <c r="F68" s="186"/>
      <c r="G68" s="552" t="s">
        <v>890</v>
      </c>
      <c r="H68" s="553"/>
      <c r="I68" s="553"/>
      <c r="J68" s="184"/>
    </row>
    <row r="69" spans="2:10" x14ac:dyDescent="0.35">
      <c r="B69" s="182"/>
      <c r="C69" s="185" t="s">
        <v>1037</v>
      </c>
      <c r="D69" s="186"/>
      <c r="E69" s="186"/>
      <c r="F69" s="186"/>
      <c r="G69" s="552" t="s">
        <v>990</v>
      </c>
      <c r="H69" s="553"/>
      <c r="I69" s="553"/>
      <c r="J69" s="184"/>
    </row>
    <row r="70" spans="2:10" ht="15" thickBot="1" x14ac:dyDescent="0.4">
      <c r="B70" s="187"/>
      <c r="C70" s="188"/>
      <c r="D70" s="188"/>
      <c r="E70" s="188"/>
      <c r="F70" s="188"/>
      <c r="G70" s="188"/>
      <c r="H70" s="188"/>
      <c r="I70" s="188"/>
      <c r="J70" s="189"/>
    </row>
    <row r="71" spans="2:10" ht="15" thickBot="1" x14ac:dyDescent="0.4"/>
    <row r="72" spans="2:10" x14ac:dyDescent="0.35">
      <c r="B72" s="190"/>
      <c r="C72" s="191"/>
      <c r="D72" s="191"/>
      <c r="E72" s="191"/>
      <c r="F72" s="191"/>
      <c r="G72" s="191"/>
      <c r="H72" s="191"/>
      <c r="I72" s="191"/>
      <c r="J72" s="192"/>
    </row>
    <row r="73" spans="2:10" ht="18.5" x14ac:dyDescent="0.45">
      <c r="B73" s="193"/>
      <c r="C73" s="390" t="s">
        <v>930</v>
      </c>
      <c r="D73" s="194"/>
      <c r="E73" s="194"/>
      <c r="F73" s="283" t="str">
        <f>IF(G46="no","--&gt; TBS not present, not to be assessed.","")</f>
        <v/>
      </c>
      <c r="G73" s="194"/>
      <c r="H73" s="194"/>
      <c r="I73" s="194"/>
      <c r="J73" s="195"/>
    </row>
    <row r="74" spans="2:10" x14ac:dyDescent="0.35">
      <c r="B74" s="193"/>
      <c r="C74" s="194"/>
      <c r="D74" s="194"/>
      <c r="E74" s="194"/>
      <c r="F74" s="194"/>
      <c r="G74" s="194"/>
      <c r="H74" s="194"/>
      <c r="I74" s="194"/>
      <c r="J74" s="195"/>
    </row>
    <row r="75" spans="2:10" x14ac:dyDescent="0.35">
      <c r="B75" s="193"/>
      <c r="C75" s="196" t="s">
        <v>886</v>
      </c>
      <c r="D75" s="197"/>
      <c r="E75" s="197"/>
      <c r="F75" s="197"/>
      <c r="G75" s="552" t="s">
        <v>882</v>
      </c>
      <c r="H75" s="553"/>
      <c r="I75" s="553"/>
      <c r="J75" s="195"/>
    </row>
    <row r="76" spans="2:10" x14ac:dyDescent="0.35">
      <c r="B76" s="193"/>
      <c r="C76" s="196" t="s">
        <v>1035</v>
      </c>
      <c r="D76" s="197"/>
      <c r="E76" s="197"/>
      <c r="F76" s="197"/>
      <c r="G76" s="552" t="s">
        <v>889</v>
      </c>
      <c r="H76" s="553"/>
      <c r="I76" s="553"/>
      <c r="J76" s="195"/>
    </row>
    <row r="77" spans="2:10" x14ac:dyDescent="0.35">
      <c r="B77" s="193"/>
      <c r="C77" s="196" t="s">
        <v>991</v>
      </c>
      <c r="D77" s="197"/>
      <c r="E77" s="197"/>
      <c r="F77" s="197"/>
      <c r="G77" s="552" t="s">
        <v>991</v>
      </c>
      <c r="H77" s="553"/>
      <c r="I77" s="553"/>
      <c r="J77" s="195"/>
    </row>
    <row r="78" spans="2:10" ht="15" thickBot="1" x14ac:dyDescent="0.4">
      <c r="B78" s="198"/>
      <c r="C78" s="199"/>
      <c r="D78" s="199"/>
      <c r="E78" s="199"/>
      <c r="F78" s="199"/>
      <c r="G78" s="199"/>
      <c r="H78" s="199"/>
      <c r="I78" s="199"/>
      <c r="J78" s="200"/>
    </row>
    <row r="79" spans="2:10" ht="15" thickBot="1" x14ac:dyDescent="0.4"/>
    <row r="80" spans="2:10" x14ac:dyDescent="0.35">
      <c r="B80" s="201"/>
      <c r="C80" s="202"/>
      <c r="D80" s="202"/>
      <c r="E80" s="202"/>
      <c r="F80" s="202"/>
      <c r="G80" s="202"/>
      <c r="H80" s="202"/>
      <c r="I80" s="202"/>
      <c r="J80" s="203"/>
    </row>
    <row r="81" spans="2:10" ht="18.5" x14ac:dyDescent="0.45">
      <c r="B81" s="204"/>
      <c r="C81" s="391" t="s">
        <v>931</v>
      </c>
      <c r="D81" s="205"/>
      <c r="E81" s="205"/>
      <c r="F81" s="284" t="str">
        <f>IF(G47="no","--&gt; TBS not present, not to be assessed.","")</f>
        <v/>
      </c>
      <c r="G81" s="205"/>
      <c r="H81" s="205"/>
      <c r="I81" s="205"/>
      <c r="J81" s="206"/>
    </row>
    <row r="82" spans="2:10" x14ac:dyDescent="0.35">
      <c r="B82" s="204"/>
      <c r="C82" s="205"/>
      <c r="D82" s="205"/>
      <c r="E82" s="205"/>
      <c r="F82" s="205"/>
      <c r="G82" s="205"/>
      <c r="H82" s="205"/>
      <c r="I82" s="205"/>
      <c r="J82" s="206"/>
    </row>
    <row r="83" spans="2:10" x14ac:dyDescent="0.35">
      <c r="B83" s="204"/>
      <c r="C83" s="207" t="s">
        <v>932</v>
      </c>
      <c r="D83" s="208"/>
      <c r="E83" s="208"/>
      <c r="F83" s="208"/>
      <c r="G83" s="557" t="s">
        <v>917</v>
      </c>
      <c r="H83" s="558"/>
      <c r="I83" s="558"/>
      <c r="J83" s="206"/>
    </row>
    <row r="84" spans="2:10" x14ac:dyDescent="0.35">
      <c r="B84" s="204"/>
      <c r="C84" s="207" t="s">
        <v>993</v>
      </c>
      <c r="D84" s="208"/>
      <c r="E84" s="208"/>
      <c r="F84" s="208"/>
      <c r="G84" s="554" t="s">
        <v>993</v>
      </c>
      <c r="H84" s="555"/>
      <c r="I84" s="556"/>
      <c r="J84" s="206"/>
    </row>
    <row r="85" spans="2:10" x14ac:dyDescent="0.35">
      <c r="B85" s="204"/>
      <c r="C85" s="207" t="s">
        <v>940</v>
      </c>
      <c r="D85" s="208"/>
      <c r="E85" s="208"/>
      <c r="F85" s="208"/>
      <c r="G85" s="554" t="s">
        <v>996</v>
      </c>
      <c r="H85" s="555"/>
      <c r="I85" s="556"/>
      <c r="J85" s="206"/>
    </row>
    <row r="86" spans="2:10" x14ac:dyDescent="0.35">
      <c r="B86" s="204"/>
      <c r="C86" s="207" t="s">
        <v>1038</v>
      </c>
      <c r="D86" s="208"/>
      <c r="E86" s="208"/>
      <c r="F86" s="208"/>
      <c r="G86" s="554"/>
      <c r="H86" s="555"/>
      <c r="I86" s="556"/>
      <c r="J86" s="206"/>
    </row>
    <row r="87" spans="2:10" ht="15" thickBot="1" x14ac:dyDescent="0.4">
      <c r="B87" s="209"/>
      <c r="C87" s="210"/>
      <c r="D87" s="210"/>
      <c r="E87" s="210"/>
      <c r="F87" s="210"/>
      <c r="G87" s="210"/>
      <c r="H87" s="210"/>
      <c r="I87" s="210"/>
      <c r="J87" s="211"/>
    </row>
    <row r="88" spans="2:10" ht="15" thickBot="1" x14ac:dyDescent="0.4"/>
    <row r="89" spans="2:10" x14ac:dyDescent="0.35">
      <c r="B89" s="212"/>
      <c r="C89" s="213"/>
      <c r="D89" s="213"/>
      <c r="E89" s="213"/>
      <c r="F89" s="213"/>
      <c r="G89" s="213"/>
      <c r="H89" s="213"/>
      <c r="I89" s="213"/>
      <c r="J89" s="214"/>
    </row>
    <row r="90" spans="2:10" ht="18.5" x14ac:dyDescent="0.45">
      <c r="B90" s="215"/>
      <c r="C90" s="392" t="s">
        <v>941</v>
      </c>
      <c r="D90" s="216"/>
      <c r="E90" s="216"/>
      <c r="F90" s="285" t="str">
        <f>IF(G49="no","--&gt; TBS not present, not to be assessed.","")</f>
        <v/>
      </c>
      <c r="G90" s="216"/>
      <c r="H90" s="216"/>
      <c r="I90" s="216"/>
      <c r="J90" s="217"/>
    </row>
    <row r="91" spans="2:10" x14ac:dyDescent="0.35">
      <c r="B91" s="215"/>
      <c r="C91" s="216"/>
      <c r="D91" s="216"/>
      <c r="E91" s="216"/>
      <c r="F91" s="216"/>
      <c r="G91" s="216"/>
      <c r="H91" s="216"/>
      <c r="I91" s="216"/>
      <c r="J91" s="217"/>
    </row>
    <row r="92" spans="2:10" x14ac:dyDescent="0.35">
      <c r="B92" s="215"/>
      <c r="C92" s="218" t="s">
        <v>1039</v>
      </c>
      <c r="D92" s="219"/>
      <c r="E92" s="219"/>
      <c r="F92" s="219"/>
      <c r="G92" s="552" t="s">
        <v>1040</v>
      </c>
      <c r="H92" s="553"/>
      <c r="I92" s="553"/>
      <c r="J92" s="217"/>
    </row>
    <row r="93" spans="2:10" ht="15" thickBot="1" x14ac:dyDescent="0.4">
      <c r="B93" s="220"/>
      <c r="C93" s="221"/>
      <c r="D93" s="221"/>
      <c r="E93" s="221"/>
      <c r="F93" s="221"/>
      <c r="G93" s="221"/>
      <c r="H93" s="221"/>
      <c r="I93" s="221"/>
      <c r="J93" s="222"/>
    </row>
    <row r="94" spans="2:10" ht="15" thickBot="1" x14ac:dyDescent="0.4"/>
    <row r="95" spans="2:10" x14ac:dyDescent="0.35">
      <c r="B95" s="270"/>
      <c r="C95" s="271"/>
      <c r="D95" s="271"/>
      <c r="E95" s="271"/>
      <c r="F95" s="271"/>
      <c r="G95" s="271"/>
      <c r="H95" s="271"/>
      <c r="I95" s="271"/>
      <c r="J95" s="278"/>
    </row>
    <row r="96" spans="2:10" ht="18.5" x14ac:dyDescent="0.45">
      <c r="B96" s="272"/>
      <c r="C96" s="393" t="s">
        <v>943</v>
      </c>
      <c r="D96" s="273"/>
      <c r="E96" s="273"/>
      <c r="F96" s="286" t="str">
        <f>IF(G50="no","--&gt; TBS not present, not to be assessed.","")</f>
        <v/>
      </c>
      <c r="G96" s="273"/>
      <c r="H96" s="273"/>
      <c r="I96" s="273"/>
      <c r="J96" s="279"/>
    </row>
    <row r="97" spans="2:10" x14ac:dyDescent="0.35">
      <c r="B97" s="272"/>
      <c r="C97" s="273"/>
      <c r="D97" s="273"/>
      <c r="E97" s="273"/>
      <c r="F97" s="273"/>
      <c r="G97" s="273"/>
      <c r="H97" s="273"/>
      <c r="I97" s="273"/>
      <c r="J97" s="279"/>
    </row>
    <row r="98" spans="2:10" x14ac:dyDescent="0.35">
      <c r="B98" s="272"/>
      <c r="C98" s="274" t="s">
        <v>1044</v>
      </c>
      <c r="D98" s="275"/>
      <c r="E98" s="275"/>
      <c r="F98" s="275"/>
      <c r="G98" s="552" t="s">
        <v>1044</v>
      </c>
      <c r="H98" s="553"/>
      <c r="I98" s="553"/>
      <c r="J98" s="279"/>
    </row>
    <row r="99" spans="2:10" x14ac:dyDescent="0.35">
      <c r="B99" s="272"/>
      <c r="C99" s="274" t="s">
        <v>1046</v>
      </c>
      <c r="D99" s="275"/>
      <c r="E99" s="275"/>
      <c r="F99" s="275"/>
      <c r="G99" s="552" t="s">
        <v>890</v>
      </c>
      <c r="H99" s="553"/>
      <c r="I99" s="553"/>
      <c r="J99" s="279"/>
    </row>
    <row r="100" spans="2:10" x14ac:dyDescent="0.35">
      <c r="B100" s="272"/>
      <c r="C100" s="274" t="s">
        <v>1041</v>
      </c>
      <c r="D100" s="275"/>
      <c r="E100" s="275"/>
      <c r="F100" s="275"/>
      <c r="G100" s="552" t="s">
        <v>1042</v>
      </c>
      <c r="H100" s="553"/>
      <c r="I100" s="553"/>
      <c r="J100" s="279"/>
    </row>
    <row r="101" spans="2:10" ht="15" thickBot="1" x14ac:dyDescent="0.4">
      <c r="B101" s="276"/>
      <c r="C101" s="277"/>
      <c r="D101" s="277"/>
      <c r="E101" s="277"/>
      <c r="F101" s="277"/>
      <c r="G101" s="277"/>
      <c r="H101" s="277"/>
      <c r="I101" s="277"/>
      <c r="J101" s="280"/>
    </row>
    <row r="102" spans="2:10" ht="15" thickBot="1" x14ac:dyDescent="0.4"/>
    <row r="103" spans="2:10" x14ac:dyDescent="0.35">
      <c r="B103" s="223"/>
      <c r="C103" s="224"/>
      <c r="D103" s="224"/>
      <c r="E103" s="224"/>
      <c r="F103" s="224"/>
      <c r="G103" s="224"/>
      <c r="H103" s="224"/>
      <c r="I103" s="224"/>
      <c r="J103" s="225"/>
    </row>
    <row r="104" spans="2:10" ht="18.5" x14ac:dyDescent="0.45">
      <c r="B104" s="226"/>
      <c r="C104" s="394" t="s">
        <v>947</v>
      </c>
      <c r="D104" s="227"/>
      <c r="E104" s="227"/>
      <c r="F104" s="287" t="str">
        <f>IF(G51="no","--&gt; TBS not present, not to be assessed.","")</f>
        <v/>
      </c>
      <c r="G104" s="227"/>
      <c r="H104" s="227"/>
      <c r="I104" s="227"/>
      <c r="J104" s="228"/>
    </row>
    <row r="105" spans="2:10" x14ac:dyDescent="0.35">
      <c r="B105" s="226"/>
      <c r="C105" s="227"/>
      <c r="D105" s="227"/>
      <c r="E105" s="227"/>
      <c r="F105" s="227"/>
      <c r="G105" s="227"/>
      <c r="H105" s="227"/>
      <c r="I105" s="227"/>
      <c r="J105" s="228"/>
    </row>
    <row r="106" spans="2:10" x14ac:dyDescent="0.35">
      <c r="B106" s="226"/>
      <c r="C106" s="229" t="s">
        <v>1047</v>
      </c>
      <c r="D106" s="230"/>
      <c r="E106" s="230"/>
      <c r="F106" s="230"/>
      <c r="G106" s="552" t="s">
        <v>997</v>
      </c>
      <c r="H106" s="553"/>
      <c r="I106" s="553"/>
      <c r="J106" s="228"/>
    </row>
    <row r="107" spans="2:10" x14ac:dyDescent="0.35">
      <c r="B107" s="226"/>
      <c r="C107" s="229" t="s">
        <v>1048</v>
      </c>
      <c r="D107" s="230"/>
      <c r="E107" s="230"/>
      <c r="F107" s="230"/>
      <c r="G107" s="552" t="s">
        <v>1066</v>
      </c>
      <c r="H107" s="553"/>
      <c r="I107" s="553"/>
      <c r="J107" s="228"/>
    </row>
    <row r="108" spans="2:10" ht="15" thickBot="1" x14ac:dyDescent="0.4">
      <c r="B108" s="231"/>
      <c r="C108" s="232"/>
      <c r="D108" s="232"/>
      <c r="E108" s="232"/>
      <c r="F108" s="232"/>
      <c r="G108" s="232"/>
      <c r="H108" s="232"/>
      <c r="I108" s="232"/>
      <c r="J108" s="233"/>
    </row>
  </sheetData>
  <sheetProtection algorithmName="SHA-512" hashValue="wp2t8d+gCQ+jXLEjZ1/gaqernods8mNUk5krD/2tB2/ykCFlQFzFU+y42jbMR6mSOxMOmD7Y5d/fREaZuAuJHg==" saltValue="I1/ZMwTxtYd6YlrOsY/xfA==" spinCount="100000" sheet="1" objects="1" scenarios="1"/>
  <mergeCells count="39">
    <mergeCell ref="G58:I58"/>
    <mergeCell ref="G60:I60"/>
    <mergeCell ref="G59:I59"/>
    <mergeCell ref="G61:I61"/>
    <mergeCell ref="G98:I98"/>
    <mergeCell ref="G84:I84"/>
    <mergeCell ref="G83:I83"/>
    <mergeCell ref="G67:I67"/>
    <mergeCell ref="G69:I69"/>
    <mergeCell ref="G75:I75"/>
    <mergeCell ref="G76:I76"/>
    <mergeCell ref="G77:I77"/>
    <mergeCell ref="G68:I68"/>
    <mergeCell ref="G99:I99"/>
    <mergeCell ref="G100:I100"/>
    <mergeCell ref="G106:I106"/>
    <mergeCell ref="G107:I107"/>
    <mergeCell ref="G85:I85"/>
    <mergeCell ref="G86:I86"/>
    <mergeCell ref="G92:I92"/>
    <mergeCell ref="G34:I34"/>
    <mergeCell ref="G11:I11"/>
    <mergeCell ref="G29:I29"/>
    <mergeCell ref="G30:I30"/>
    <mergeCell ref="G7:I7"/>
    <mergeCell ref="G8:I8"/>
    <mergeCell ref="G12:I12"/>
    <mergeCell ref="C33:E33"/>
    <mergeCell ref="G33:I33"/>
    <mergeCell ref="C27:E27"/>
    <mergeCell ref="G27:I27"/>
    <mergeCell ref="G18:I18"/>
    <mergeCell ref="G19:I19"/>
    <mergeCell ref="G20:I20"/>
    <mergeCell ref="G23:I23"/>
    <mergeCell ref="G24:I24"/>
    <mergeCell ref="G25:I25"/>
    <mergeCell ref="G21:I21"/>
    <mergeCell ref="G31:I31"/>
  </mergeCells>
  <conditionalFormatting sqref="I47">
    <cfRule type="expression" dxfId="923" priority="28">
      <formula>$G47="yes"</formula>
    </cfRule>
  </conditionalFormatting>
  <conditionalFormatting sqref="I50:I51">
    <cfRule type="expression" dxfId="922" priority="25">
      <formula>$G50="yes"</formula>
    </cfRule>
  </conditionalFormatting>
  <conditionalFormatting sqref="C58:C61">
    <cfRule type="expression" dxfId="921" priority="24">
      <formula>$G$44="no"</formula>
    </cfRule>
  </conditionalFormatting>
  <conditionalFormatting sqref="G58:G61">
    <cfRule type="expression" dxfId="920" priority="23">
      <formula>$G$44="no"</formula>
    </cfRule>
  </conditionalFormatting>
  <conditionalFormatting sqref="G67:G69">
    <cfRule type="expression" dxfId="919" priority="21">
      <formula>$G$45="no"</formula>
    </cfRule>
  </conditionalFormatting>
  <conditionalFormatting sqref="C75:C77">
    <cfRule type="expression" dxfId="918" priority="20">
      <formula>$G$46="no"</formula>
    </cfRule>
  </conditionalFormatting>
  <conditionalFormatting sqref="G75:G77">
    <cfRule type="expression" dxfId="917" priority="19">
      <formula>$G$46="no"</formula>
    </cfRule>
  </conditionalFormatting>
  <conditionalFormatting sqref="C83:C86">
    <cfRule type="expression" dxfId="916" priority="18">
      <formula>$G$47="no"</formula>
    </cfRule>
  </conditionalFormatting>
  <conditionalFormatting sqref="G83:G86">
    <cfRule type="expression" dxfId="915" priority="17">
      <formula>$G$47="no"</formula>
    </cfRule>
  </conditionalFormatting>
  <conditionalFormatting sqref="C92">
    <cfRule type="expression" dxfId="914" priority="16">
      <formula>$G$49="no"</formula>
    </cfRule>
  </conditionalFormatting>
  <conditionalFormatting sqref="G92">
    <cfRule type="expression" dxfId="913" priority="15">
      <formula>$G$49="no"</formula>
    </cfRule>
  </conditionalFormatting>
  <conditionalFormatting sqref="C100">
    <cfRule type="expression" dxfId="912" priority="14">
      <formula>$G$50="no"</formula>
    </cfRule>
  </conditionalFormatting>
  <conditionalFormatting sqref="G98:G100">
    <cfRule type="expression" dxfId="911" priority="13">
      <formula>$G$50="no"</formula>
    </cfRule>
  </conditionalFormatting>
  <conditionalFormatting sqref="C106:C107">
    <cfRule type="expression" dxfId="910" priority="12">
      <formula>$G$51="no"</formula>
    </cfRule>
  </conditionalFormatting>
  <conditionalFormatting sqref="G106:G107">
    <cfRule type="expression" dxfId="909" priority="11">
      <formula>$G$51="no"</formula>
    </cfRule>
  </conditionalFormatting>
  <conditionalFormatting sqref="C67:C69">
    <cfRule type="expression" dxfId="908" priority="6">
      <formula>$G$45="no"</formula>
    </cfRule>
  </conditionalFormatting>
  <conditionalFormatting sqref="C98">
    <cfRule type="expression" dxfId="907" priority="3">
      <formula>$G$50="no"</formula>
    </cfRule>
  </conditionalFormatting>
  <conditionalFormatting sqref="C99">
    <cfRule type="expression" dxfId="906" priority="2">
      <formula>$G$50="no"</formula>
    </cfRule>
  </conditionalFormatting>
  <dataValidations xWindow="1210" yWindow="587" count="2">
    <dataValidation type="list" allowBlank="1" showInputMessage="1" showErrorMessage="1" sqref="G19" xr:uid="{00000000-0002-0000-0100-000000000000}">
      <formula1>INDIRECT($G$18)</formula1>
    </dataValidation>
    <dataValidation type="list" allowBlank="1" showInputMessage="1" showErrorMessage="1" sqref="I47 I51 I50" xr:uid="{00000000-0002-0000-0100-000001000000}">
      <formula1>INDIRECT($G47)</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504" id="{639DCC73-4F81-4F56-A240-1C5798D09BE6}">
            <xm:f>$G$85=_general!$I$60</xm:f>
            <x14:dxf>
              <font>
                <b val="0"/>
                <i/>
                <color theme="0" tint="-0.24994659260841701"/>
              </font>
            </x14:dxf>
          </x14:cfRule>
          <xm:sqref>C86</xm:sqref>
        </x14:conditionalFormatting>
        <x14:conditionalFormatting xmlns:xm="http://schemas.microsoft.com/office/excel/2006/main">
          <x14:cfRule type="expression" priority="509" id="{850BF995-B77A-4BE2-9707-1AE5FF6646D2}">
            <xm:f>$G$85=_general!$I$60</xm:f>
            <x14:dxf>
              <font>
                <b val="0"/>
                <i/>
                <color theme="6" tint="0.39994506668294322"/>
              </font>
              <fill>
                <patternFill>
                  <bgColor theme="6" tint="0.39994506668294322"/>
                </patternFill>
              </fill>
              <border>
                <left/>
                <right/>
                <top/>
                <bottom/>
                <vertical/>
                <horizontal/>
              </border>
            </x14:dxf>
          </x14:cfRule>
          <xm:sqref>G86:I86</xm:sqref>
        </x14:conditionalFormatting>
        <x14:conditionalFormatting xmlns:xm="http://schemas.microsoft.com/office/excel/2006/main">
          <x14:cfRule type="expression" priority="508" id="{516462C6-3E8C-40D8-A22A-58778C8F1807}">
            <xm:f>$G$83=_general!$I$46</xm:f>
            <x14:dxf>
              <font>
                <b val="0"/>
                <i/>
                <color theme="0" tint="-0.24994659260841701"/>
              </font>
            </x14:dxf>
          </x14:cfRule>
          <xm:sqref>C84:C86</xm:sqref>
        </x14:conditionalFormatting>
        <x14:conditionalFormatting xmlns:xm="http://schemas.microsoft.com/office/excel/2006/main">
          <x14:cfRule type="expression" priority="505" stopIfTrue="1" id="{B3C1BCD5-C52A-435A-9265-12CD0C3A1D63}">
            <xm:f>$G$83=_general!$I$46</xm:f>
            <x14:dxf>
              <font>
                <color theme="6" tint="0.39994506668294322"/>
              </font>
              <fill>
                <patternFill>
                  <bgColor theme="6" tint="0.39994506668294322"/>
                </patternFill>
              </fill>
              <border>
                <left/>
                <right/>
                <top/>
                <bottom/>
                <vertical/>
                <horizontal/>
              </border>
            </x14:dxf>
          </x14:cfRule>
          <xm:sqref>G84:I86</xm:sqref>
        </x14:conditionalFormatting>
        <x14:conditionalFormatting xmlns:xm="http://schemas.microsoft.com/office/excel/2006/main">
          <x14:cfRule type="expression" priority="1" id="{F6873B9D-769A-46CC-9968-ABF4FB26F11F}">
            <xm:f>$G$59=_general!$I$16</xm:f>
            <x14:dxf>
              <font>
                <color theme="5" tint="0.39994506668294322"/>
              </font>
              <fill>
                <patternFill>
                  <bgColor theme="5" tint="0.39994506668294322"/>
                </patternFill>
              </fill>
              <border>
                <left/>
                <right/>
                <top/>
                <bottom/>
                <vertical/>
                <horizontal/>
              </border>
            </x14:dxf>
          </x14:cfRule>
          <xm:sqref>C61:I61</xm:sqref>
        </x14:conditionalFormatting>
      </x14:conditionalFormattings>
    </ext>
    <ext xmlns:x14="http://schemas.microsoft.com/office/spreadsheetml/2009/9/main" uri="{CCE6A557-97BC-4b89-ADB6-D9C93CAAB3DF}">
      <x14:dataValidations xmlns:xm="http://schemas.microsoft.com/office/excel/2006/main" xWindow="1210" yWindow="587" count="27">
        <x14:dataValidation type="list" allowBlank="1" showInputMessage="1" showErrorMessage="1" xr:uid="{00000000-0002-0000-0100-000002000000}">
          <x14:formula1>
            <xm:f>_general!$C$2:$D$2</xm:f>
          </x14:formula1>
          <xm:sqref>G18</xm:sqref>
        </x14:dataValidation>
        <x14:dataValidation type="list" allowBlank="1" showInputMessage="1" showErrorMessage="1" xr:uid="{00000000-0002-0000-0100-000003000000}">
          <x14:formula1>
            <xm:f>_general!$I$12:$I$16</xm:f>
          </x14:formula1>
          <xm:sqref>G59</xm:sqref>
        </x14:dataValidation>
        <x14:dataValidation type="list" allowBlank="1" showInputMessage="1" showErrorMessage="1" xr:uid="{00000000-0002-0000-0100-000004000000}">
          <x14:formula1>
            <xm:f>_general!$I$18:$I$19</xm:f>
          </x14:formula1>
          <xm:sqref>G60</xm:sqref>
        </x14:dataValidation>
        <x14:dataValidation type="list" allowBlank="1" showInputMessage="1" showErrorMessage="1" xr:uid="{00000000-0002-0000-0100-000005000000}">
          <x14:formula1>
            <xm:f>_general!$I$8:$I$10</xm:f>
          </x14:formula1>
          <xm:sqref>G58:G59</xm:sqref>
        </x14:dataValidation>
        <x14:dataValidation type="list" allowBlank="1" showInputMessage="1" showErrorMessage="1" xr:uid="{00000000-0002-0000-0100-000006000000}">
          <x14:formula1>
            <xm:f>_general!$I$24:$I$25</xm:f>
          </x14:formula1>
          <xm:sqref>G67</xm:sqref>
        </x14:dataValidation>
        <x14:dataValidation type="list" allowBlank="1" showInputMessage="1" showErrorMessage="1" xr:uid="{00000000-0002-0000-0100-000007000000}">
          <x14:formula1>
            <xm:f>_general!$I$27:$I$28</xm:f>
          </x14:formula1>
          <xm:sqref>G68</xm:sqref>
        </x14:dataValidation>
        <x14:dataValidation type="list" allowBlank="1" showInputMessage="1" showErrorMessage="1" xr:uid="{00000000-0002-0000-0100-000008000000}">
          <x14:formula1>
            <xm:f>_general!$I$30:$I$31</xm:f>
          </x14:formula1>
          <xm:sqref>G69</xm:sqref>
        </x14:dataValidation>
        <x14:dataValidation type="list" allowBlank="1" showInputMessage="1" showErrorMessage="1" xr:uid="{00000000-0002-0000-0100-000009000000}">
          <x14:formula1>
            <xm:f>_general!$I$34:$I$36</xm:f>
          </x14:formula1>
          <xm:sqref>G75</xm:sqref>
        </x14:dataValidation>
        <x14:dataValidation type="list" allowBlank="1" showInputMessage="1" showErrorMessage="1" xr:uid="{00000000-0002-0000-0100-00000A000000}">
          <x14:formula1>
            <xm:f>_general!$I$38:$I$39</xm:f>
          </x14:formula1>
          <xm:sqref>G76</xm:sqref>
        </x14:dataValidation>
        <x14:dataValidation type="list" allowBlank="1" showInputMessage="1" showErrorMessage="1" xr:uid="{00000000-0002-0000-0100-00000B000000}">
          <x14:formula1>
            <xm:f>_general!$I$2:$J$2</xm:f>
          </x14:formula1>
          <xm:sqref>G44:G51</xm:sqref>
        </x14:dataValidation>
        <x14:dataValidation type="list" allowBlank="1" showInputMessage="1" showErrorMessage="1" xr:uid="{00000000-0002-0000-0100-00000C000000}">
          <x14:formula1>
            <xm:f>_general!$I$49:$I$51</xm:f>
          </x14:formula1>
          <xm:sqref>G86</xm:sqref>
        </x14:dataValidation>
        <x14:dataValidation type="list" allowBlank="1" showInputMessage="1" showErrorMessage="1" xr:uid="{00000000-0002-0000-0100-00000D000000}">
          <x14:formula1>
            <xm:f>_general!$I$53:$I$54</xm:f>
          </x14:formula1>
          <xm:sqref>G84</xm:sqref>
        </x14:dataValidation>
        <x14:dataValidation type="list" allowBlank="1" showInputMessage="1" showErrorMessage="1" xr:uid="{00000000-0002-0000-0100-00000E000000}">
          <x14:formula1>
            <xm:f>_general!$I$59:$I$60</xm:f>
          </x14:formula1>
          <xm:sqref>G85</xm:sqref>
        </x14:dataValidation>
        <x14:dataValidation type="list" allowBlank="1" showInputMessage="1" showErrorMessage="1" xr:uid="{00000000-0002-0000-0100-00000F000000}">
          <x14:formula1>
            <xm:f>_general!$I$63:$I$64</xm:f>
          </x14:formula1>
          <xm:sqref>G92</xm:sqref>
        </x14:dataValidation>
        <x14:dataValidation type="list" allowBlank="1" showInputMessage="1" showErrorMessage="1" xr:uid="{00000000-0002-0000-0100-000010000000}">
          <x14:formula1>
            <xm:f>_general!$I$68:$I$69</xm:f>
          </x14:formula1>
          <xm:sqref>G98</xm:sqref>
        </x14:dataValidation>
        <x14:dataValidation type="list" allowBlank="1" showInputMessage="1" showErrorMessage="1" xr:uid="{00000000-0002-0000-0100-000011000000}">
          <x14:formula1>
            <xm:f>_general!$I$41:$I$42</xm:f>
          </x14:formula1>
          <xm:sqref>G77</xm:sqref>
        </x14:dataValidation>
        <x14:dataValidation type="list" allowBlank="1" showInputMessage="1" showErrorMessage="1" xr:uid="{00000000-0002-0000-0100-000012000000}">
          <x14:formula1>
            <xm:f>_general!$I$45:$I$46</xm:f>
          </x14:formula1>
          <xm:sqref>G83:G85</xm:sqref>
        </x14:dataValidation>
        <x14:dataValidation type="list" allowBlank="1" showInputMessage="1" showErrorMessage="1" xr:uid="{00000000-0002-0000-0100-000013000000}">
          <x14:formula1>
            <xm:f>_general!$I$71:$I$72</xm:f>
          </x14:formula1>
          <xm:sqref>G99</xm:sqref>
        </x14:dataValidation>
        <x14:dataValidation type="list" allowBlank="1" showInputMessage="1" showErrorMessage="1" xr:uid="{00000000-0002-0000-0100-000014000000}">
          <x14:formula1>
            <xm:f>_general!$I$74:$I$75</xm:f>
          </x14:formula1>
          <xm:sqref>G100</xm:sqref>
        </x14:dataValidation>
        <x14:dataValidation type="list" allowBlank="1" showInputMessage="1" showErrorMessage="1" xr:uid="{00000000-0002-0000-0100-000015000000}">
          <x14:formula1>
            <xm:f>_general!$I$78:$I$79</xm:f>
          </x14:formula1>
          <xm:sqref>G106</xm:sqref>
        </x14:dataValidation>
        <x14:dataValidation type="list" allowBlank="1" showInputMessage="1" showErrorMessage="1" xr:uid="{00000000-0002-0000-0100-000016000000}">
          <x14:formula1>
            <xm:f>_general!$C$61:$C$62</xm:f>
          </x14:formula1>
          <xm:sqref>G33:I33</xm:sqref>
        </x14:dataValidation>
        <x14:dataValidation type="list" allowBlank="1" showInputMessage="1" showErrorMessage="1" xr:uid="{00000000-0002-0000-0100-000017000000}">
          <x14:formula1>
            <xm:f>_general!$C$9:$C$41</xm:f>
          </x14:formula1>
          <xm:sqref>G20:I20</xm:sqref>
        </x14:dataValidation>
        <x14:dataValidation type="list" allowBlank="1" showInputMessage="1" showErrorMessage="1" xr:uid="{00000000-0002-0000-0100-000018000000}">
          <x14:formula1>
            <xm:f>_general!$I$81:$I$82</xm:f>
          </x14:formula1>
          <xm:sqref>G107:I107</xm:sqref>
        </x14:dataValidation>
        <x14:dataValidation type="list" allowBlank="1" showInputMessage="1" showErrorMessage="1" xr:uid="{00000000-0002-0000-0100-000019000000}">
          <x14:formula1>
            <xm:f>_general!$C$45:$C$50</xm:f>
          </x14:formula1>
          <xm:sqref>G23:I23</xm:sqref>
        </x14:dataValidation>
        <x14:dataValidation type="list" allowBlank="1" showInputMessage="1" showErrorMessage="1" xr:uid="{00000000-0002-0000-0100-00001A000000}">
          <x14:formula1>
            <xm:f>_general!$C$52:$C$56</xm:f>
          </x14:formula1>
          <xm:sqref>G24:I24</xm:sqref>
        </x14:dataValidation>
        <x14:dataValidation type="list" allowBlank="1" showInputMessage="1" showErrorMessage="1" promptTitle="Renovated/Original:" prompt="Renovation refers to important energetic upgrades e.g. thermal insulation and/or upgrades to the Technical Building Systems." xr:uid="{00000000-0002-0000-0100-00001B000000}">
          <x14:formula1>
            <xm:f>_general!$C$58:$C$59</xm:f>
          </x14:formula1>
          <xm:sqref>G25:I25</xm:sqref>
        </x14:dataValidation>
        <x14:dataValidation type="list" allowBlank="1" showInputMessage="1" showErrorMessage="1" promptTitle="Multiple generators:" prompt="This includes multiple generators using the same source (e.g. two gas-fired boilers) or hybrid systems (e.g. heat pump and gas-fired boiler)." xr:uid="{00000000-0002-0000-0100-00001C000000}">
          <x14:formula1>
            <xm:f>_general!$I$21:$I$22</xm:f>
          </x14:formula1>
          <xm:sqref>G61:I61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1:DG61"/>
  <sheetViews>
    <sheetView topLeftCell="B1" zoomScale="50" zoomScaleNormal="50" workbookViewId="0">
      <pane xSplit="1" ySplit="3" topLeftCell="D4" activePane="bottomRight" state="frozen"/>
      <selection activeCell="B1" sqref="B1"/>
      <selection pane="topRight" activeCell="C1" sqref="C1"/>
      <selection pane="bottomLeft" activeCell="B3" sqref="B3"/>
      <selection pane="bottomRight" activeCell="I52" sqref="I52"/>
    </sheetView>
  </sheetViews>
  <sheetFormatPr defaultColWidth="8.90625" defaultRowHeight="14.5" outlineLevelCol="1" x14ac:dyDescent="0.35"/>
  <cols>
    <col min="1" max="1" width="15.453125" style="77" customWidth="1"/>
    <col min="2" max="3" width="16.1796875" style="77" customWidth="1"/>
    <col min="4" max="4" width="68.81640625" style="78" customWidth="1"/>
    <col min="5" max="7" width="18.1796875" style="235" customWidth="1"/>
    <col min="8" max="8" width="14.1796875" style="235" customWidth="1"/>
    <col min="9" max="9" width="18.1796875" style="234" customWidth="1"/>
    <col min="10" max="14" width="32.36328125" style="78" customWidth="1"/>
    <col min="15" max="16" width="24" style="77" customWidth="1"/>
    <col min="17" max="17" width="71.54296875" style="235" customWidth="1"/>
    <col min="18" max="18" width="15.6328125" style="77" customWidth="1" outlineLevel="1"/>
    <col min="19" max="19" width="17.36328125" style="77" customWidth="1" outlineLevel="1"/>
    <col min="20" max="20" width="14.81640625" style="77" customWidth="1" outlineLevel="1"/>
    <col min="21" max="22" width="14.1796875" style="92" customWidth="1" outlineLevel="1"/>
    <col min="23" max="24" width="16.08984375" style="77" customWidth="1" outlineLevel="1"/>
    <col min="25" max="25" width="11.36328125" style="77" customWidth="1" outlineLevel="1"/>
    <col min="26" max="26" width="16.08984375" style="77" customWidth="1" outlineLevel="1"/>
    <col min="27" max="33" width="8.90625" style="77" customWidth="1" outlineLevel="1"/>
    <col min="34" max="34" width="15.6328125" style="30" customWidth="1" outlineLevel="1"/>
    <col min="35" max="41" width="9.81640625" style="77" customWidth="1" outlineLevel="1"/>
    <col min="42" max="42" width="3.81640625" style="30" customWidth="1" outlineLevel="1"/>
    <col min="43" max="43" width="9.54296875" style="30" customWidth="1" outlineLevel="1"/>
    <col min="44" max="51" width="8.90625" style="77" customWidth="1" outlineLevel="1"/>
    <col min="52" max="52" width="8.90625" style="431" customWidth="1" outlineLevel="1"/>
    <col min="53" max="60" width="8.90625" style="77" customWidth="1" outlineLevel="1"/>
    <col min="61" max="67" width="10.7265625" style="77" customWidth="1" outlineLevel="1"/>
    <col min="68" max="109" width="8.90625" style="77" customWidth="1" outlineLevel="1"/>
    <col min="110" max="110" width="27.453125" style="77" customWidth="1"/>
    <col min="111" max="16384" width="8.90625" style="77"/>
  </cols>
  <sheetData>
    <row r="1" spans="1:111" s="90" customFormat="1" ht="31.25" customHeight="1" thickBot="1" x14ac:dyDescent="0.4">
      <c r="A1" s="90" t="s">
        <v>899</v>
      </c>
      <c r="R1" s="562" t="s">
        <v>980</v>
      </c>
      <c r="S1" s="563"/>
      <c r="T1" s="564"/>
      <c r="AA1" s="112" t="s">
        <v>1023</v>
      </c>
      <c r="AB1" s="113"/>
      <c r="AC1" s="113"/>
      <c r="AD1" s="113"/>
      <c r="AE1" s="113"/>
      <c r="AF1" s="113"/>
      <c r="AG1" s="114"/>
      <c r="AI1" s="401" t="s">
        <v>1024</v>
      </c>
      <c r="AJ1" s="402"/>
      <c r="AK1" s="402"/>
      <c r="AL1" s="402"/>
      <c r="AM1" s="402"/>
      <c r="AN1" s="402"/>
      <c r="AO1" s="403"/>
      <c r="AS1" s="112" t="s">
        <v>900</v>
      </c>
      <c r="AT1" s="113"/>
      <c r="AU1" s="113"/>
      <c r="AV1" s="113"/>
      <c r="AW1" s="113"/>
      <c r="AX1" s="113"/>
      <c r="AY1" s="114"/>
      <c r="BA1" s="112" t="s">
        <v>901</v>
      </c>
      <c r="BB1" s="113"/>
      <c r="BC1" s="113"/>
      <c r="BD1" s="113"/>
      <c r="BE1" s="113"/>
      <c r="BF1" s="113"/>
      <c r="BG1" s="114"/>
      <c r="BH1" s="399"/>
      <c r="BI1" s="401" t="s">
        <v>1027</v>
      </c>
      <c r="BJ1" s="402"/>
      <c r="BK1" s="402"/>
      <c r="BL1" s="402"/>
      <c r="BM1" s="402"/>
      <c r="BN1" s="402"/>
      <c r="BO1" s="403"/>
      <c r="BQ1" s="559" t="s">
        <v>902</v>
      </c>
      <c r="BR1" s="560"/>
      <c r="BS1" s="560"/>
      <c r="BT1" s="560"/>
      <c r="BU1" s="560"/>
      <c r="BV1" s="560"/>
      <c r="BW1" s="561"/>
      <c r="CA1" s="559" t="s">
        <v>903</v>
      </c>
      <c r="CB1" s="560"/>
      <c r="CC1" s="560"/>
      <c r="CD1" s="560"/>
      <c r="CE1" s="560"/>
      <c r="CF1" s="560"/>
      <c r="CG1" s="561"/>
      <c r="CI1" s="559" t="s">
        <v>904</v>
      </c>
      <c r="CJ1" s="560"/>
      <c r="CK1" s="560"/>
      <c r="CL1" s="560"/>
      <c r="CM1" s="560"/>
      <c r="CN1" s="560"/>
      <c r="CO1" s="561"/>
      <c r="CQ1" s="559" t="s">
        <v>905</v>
      </c>
      <c r="CR1" s="560"/>
      <c r="CS1" s="560"/>
      <c r="CT1" s="560"/>
      <c r="CU1" s="560"/>
      <c r="CV1" s="560"/>
      <c r="CW1" s="561"/>
      <c r="CY1" s="559" t="s">
        <v>906</v>
      </c>
      <c r="CZ1" s="560"/>
      <c r="DA1" s="560"/>
      <c r="DB1" s="560"/>
      <c r="DC1" s="560"/>
      <c r="DD1" s="560"/>
      <c r="DE1" s="561"/>
    </row>
    <row r="2" spans="1:111" ht="34" customHeight="1" thickBot="1" x14ac:dyDescent="0.4">
      <c r="A2" s="90"/>
      <c r="B2" s="90"/>
      <c r="C2" s="245" t="s">
        <v>915</v>
      </c>
      <c r="D2" s="246" t="str">
        <f>'Building Information'!G18</f>
        <v>non_residential</v>
      </c>
      <c r="E2" s="90"/>
      <c r="F2" s="90"/>
      <c r="G2" s="90"/>
      <c r="H2" s="90"/>
      <c r="I2" s="90">
        <f ca="1">COUNTIF(I6:I59,_general!A83)</f>
        <v>0</v>
      </c>
      <c r="J2" s="91">
        <v>0</v>
      </c>
      <c r="K2" s="91">
        <v>1</v>
      </c>
      <c r="L2" s="91">
        <v>2</v>
      </c>
      <c r="M2" s="91">
        <v>3</v>
      </c>
      <c r="N2" s="91">
        <v>4</v>
      </c>
      <c r="O2" s="90"/>
      <c r="P2" s="90"/>
      <c r="Q2" s="90"/>
      <c r="R2" s="565"/>
      <c r="S2" s="566"/>
      <c r="T2" s="567"/>
      <c r="U2" s="237"/>
      <c r="V2" s="237"/>
      <c r="W2" s="238"/>
      <c r="X2" s="238"/>
      <c r="Y2" s="238">
        <v>18</v>
      </c>
      <c r="Z2" s="238">
        <v>17</v>
      </c>
      <c r="AA2" s="93">
        <v>18</v>
      </c>
      <c r="AB2" s="93">
        <f>AA2+1</f>
        <v>19</v>
      </c>
      <c r="AC2" s="93">
        <f t="shared" ref="AC2" si="0">AB2+1</f>
        <v>20</v>
      </c>
      <c r="AD2" s="93">
        <f t="shared" ref="AD2" si="1">AC2+1</f>
        <v>21</v>
      </c>
      <c r="AE2" s="93">
        <f t="shared" ref="AE2" si="2">AD2+1</f>
        <v>22</v>
      </c>
      <c r="AF2" s="93">
        <f t="shared" ref="AF2" si="3">AE2+1</f>
        <v>23</v>
      </c>
      <c r="AG2" s="93">
        <f t="shared" ref="AG2" si="4">AF2+1</f>
        <v>24</v>
      </c>
      <c r="AH2" s="239"/>
      <c r="AI2" s="404">
        <v>18</v>
      </c>
      <c r="AJ2" s="404">
        <f>AI2+1</f>
        <v>19</v>
      </c>
      <c r="AK2" s="404">
        <f t="shared" ref="AK2:AO2" si="5">AJ2+1</f>
        <v>20</v>
      </c>
      <c r="AL2" s="404">
        <f t="shared" si="5"/>
        <v>21</v>
      </c>
      <c r="AM2" s="404">
        <f t="shared" si="5"/>
        <v>22</v>
      </c>
      <c r="AN2" s="404">
        <f t="shared" si="5"/>
        <v>23</v>
      </c>
      <c r="AO2" s="404">
        <f t="shared" si="5"/>
        <v>24</v>
      </c>
      <c r="AP2" s="239"/>
      <c r="AQ2" s="240"/>
      <c r="AR2" s="240"/>
      <c r="AS2" s="94">
        <f>IF(OR('Building Information'!G33=_general!C62,'Building Information'!G20=_general!C41),2,VLOOKUP('Building Information'!G21,_general!A76:B80,2,FALSE)+1)</f>
        <v>2</v>
      </c>
      <c r="AT2" s="94">
        <f>AS2+1</f>
        <v>3</v>
      </c>
      <c r="AU2" s="94">
        <f t="shared" ref="AU2:AY2" si="6">AT2+1</f>
        <v>4</v>
      </c>
      <c r="AV2" s="94">
        <f t="shared" si="6"/>
        <v>5</v>
      </c>
      <c r="AW2" s="94">
        <f t="shared" si="6"/>
        <v>6</v>
      </c>
      <c r="AX2" s="94">
        <f t="shared" si="6"/>
        <v>7</v>
      </c>
      <c r="AY2" s="94">
        <f t="shared" si="6"/>
        <v>8</v>
      </c>
      <c r="AZ2" s="238"/>
      <c r="BA2" s="95"/>
      <c r="BB2" s="95"/>
      <c r="BC2" s="95"/>
      <c r="BD2" s="95"/>
      <c r="BE2" s="95"/>
      <c r="BF2" s="95"/>
      <c r="BG2" s="95"/>
      <c r="BH2" s="400"/>
      <c r="BI2" s="404">
        <v>18</v>
      </c>
      <c r="BJ2" s="404">
        <f>BI2+1</f>
        <v>19</v>
      </c>
      <c r="BK2" s="404">
        <f t="shared" ref="BK2" si="7">BJ2+1</f>
        <v>20</v>
      </c>
      <c r="BL2" s="404">
        <f t="shared" ref="BL2" si="8">BK2+1</f>
        <v>21</v>
      </c>
      <c r="BM2" s="404">
        <f t="shared" ref="BM2" si="9">BL2+1</f>
        <v>22</v>
      </c>
      <c r="BN2" s="404">
        <f t="shared" ref="BN2" si="10">BM2+1</f>
        <v>23</v>
      </c>
      <c r="BO2" s="404">
        <f t="shared" ref="BO2" si="11">BN2+1</f>
        <v>24</v>
      </c>
      <c r="BP2" s="238"/>
      <c r="BQ2" s="96">
        <f t="shared" ref="BQ2:BW2" si="12">AS2</f>
        <v>2</v>
      </c>
      <c r="BR2" s="96">
        <f t="shared" si="12"/>
        <v>3</v>
      </c>
      <c r="BS2" s="96">
        <f t="shared" si="12"/>
        <v>4</v>
      </c>
      <c r="BT2" s="96">
        <f t="shared" si="12"/>
        <v>5</v>
      </c>
      <c r="BU2" s="96">
        <f t="shared" si="12"/>
        <v>6</v>
      </c>
      <c r="BV2" s="96">
        <f t="shared" si="12"/>
        <v>7</v>
      </c>
      <c r="BW2" s="96">
        <f t="shared" si="12"/>
        <v>8</v>
      </c>
      <c r="BX2" s="238"/>
      <c r="BY2" s="238"/>
      <c r="BZ2" s="238"/>
      <c r="CA2" s="93">
        <f t="shared" ref="CA2:CG2" si="13">AI2</f>
        <v>18</v>
      </c>
      <c r="CB2" s="93">
        <f t="shared" si="13"/>
        <v>19</v>
      </c>
      <c r="CC2" s="93">
        <f t="shared" si="13"/>
        <v>20</v>
      </c>
      <c r="CD2" s="93">
        <f t="shared" si="13"/>
        <v>21</v>
      </c>
      <c r="CE2" s="93">
        <f t="shared" si="13"/>
        <v>22</v>
      </c>
      <c r="CF2" s="93">
        <f t="shared" si="13"/>
        <v>23</v>
      </c>
      <c r="CG2" s="93">
        <f t="shared" si="13"/>
        <v>24</v>
      </c>
      <c r="CH2" s="238"/>
      <c r="CI2" s="95"/>
      <c r="CJ2" s="95"/>
      <c r="CK2" s="95"/>
      <c r="CL2" s="95"/>
      <c r="CM2" s="95"/>
      <c r="CN2" s="95"/>
      <c r="CO2" s="95"/>
      <c r="CP2" s="238"/>
      <c r="CQ2" s="96">
        <f>BQ2</f>
        <v>2</v>
      </c>
      <c r="CR2" s="96">
        <f t="shared" ref="CR2:CW2" si="14">BR2</f>
        <v>3</v>
      </c>
      <c r="CS2" s="96">
        <f t="shared" si="14"/>
        <v>4</v>
      </c>
      <c r="CT2" s="96">
        <f t="shared" si="14"/>
        <v>5</v>
      </c>
      <c r="CU2" s="96">
        <f t="shared" si="14"/>
        <v>6</v>
      </c>
      <c r="CV2" s="96">
        <f t="shared" si="14"/>
        <v>7</v>
      </c>
      <c r="CW2" s="96">
        <f t="shared" si="14"/>
        <v>8</v>
      </c>
      <c r="CX2" s="238"/>
      <c r="CY2" s="97"/>
      <c r="CZ2" s="98"/>
      <c r="DA2" s="98"/>
      <c r="DB2" s="98"/>
      <c r="DC2" s="98"/>
      <c r="DD2" s="98"/>
      <c r="DE2" s="98"/>
      <c r="DF2" s="238"/>
      <c r="DG2" s="238"/>
    </row>
    <row r="3" spans="1:111" s="104" customFormat="1" ht="84.5" customHeight="1" thickBot="1" x14ac:dyDescent="0.4">
      <c r="A3" s="99" t="s">
        <v>3</v>
      </c>
      <c r="B3" s="100" t="s">
        <v>4</v>
      </c>
      <c r="C3" s="100"/>
      <c r="D3" s="100" t="s">
        <v>907</v>
      </c>
      <c r="E3" s="395" t="s">
        <v>1028</v>
      </c>
      <c r="F3" s="397" t="s">
        <v>1020</v>
      </c>
      <c r="G3" s="395" t="s">
        <v>1021</v>
      </c>
      <c r="H3" s="100" t="s">
        <v>1022</v>
      </c>
      <c r="I3" s="100" t="s">
        <v>1015</v>
      </c>
      <c r="J3" s="100" t="s">
        <v>986</v>
      </c>
      <c r="K3" s="100" t="s">
        <v>8</v>
      </c>
      <c r="L3" s="100" t="s">
        <v>9</v>
      </c>
      <c r="M3" s="100" t="s">
        <v>10</v>
      </c>
      <c r="N3" s="100" t="s">
        <v>11</v>
      </c>
      <c r="O3" s="236" t="s">
        <v>979</v>
      </c>
      <c r="P3" s="101" t="s">
        <v>1029</v>
      </c>
      <c r="Q3" s="101" t="s">
        <v>921</v>
      </c>
      <c r="R3" s="143" t="s">
        <v>977</v>
      </c>
      <c r="S3" s="144" t="s">
        <v>976</v>
      </c>
      <c r="T3" s="144" t="s">
        <v>981</v>
      </c>
      <c r="U3" s="102" t="s">
        <v>1025</v>
      </c>
      <c r="V3" s="102" t="s">
        <v>1026</v>
      </c>
      <c r="W3" s="103" t="s">
        <v>908</v>
      </c>
      <c r="X3" s="103" t="s">
        <v>909</v>
      </c>
      <c r="Y3" s="102" t="s">
        <v>910</v>
      </c>
      <c r="Z3" s="102" t="s">
        <v>911</v>
      </c>
      <c r="AA3" s="256" t="s">
        <v>687</v>
      </c>
      <c r="AB3" s="256" t="s">
        <v>688</v>
      </c>
      <c r="AC3" s="256" t="s">
        <v>689</v>
      </c>
      <c r="AD3" s="256" t="s">
        <v>690</v>
      </c>
      <c r="AE3" s="256" t="s">
        <v>616</v>
      </c>
      <c r="AF3" s="256" t="s">
        <v>691</v>
      </c>
      <c r="AG3" s="256" t="s">
        <v>692</v>
      </c>
      <c r="AH3" s="102" t="s">
        <v>911</v>
      </c>
      <c r="AI3" s="405" t="s">
        <v>687</v>
      </c>
      <c r="AJ3" s="405" t="s">
        <v>688</v>
      </c>
      <c r="AK3" s="405" t="s">
        <v>689</v>
      </c>
      <c r="AL3" s="405" t="s">
        <v>690</v>
      </c>
      <c r="AM3" s="405" t="s">
        <v>616</v>
      </c>
      <c r="AN3" s="405" t="s">
        <v>691</v>
      </c>
      <c r="AO3" s="405" t="s">
        <v>692</v>
      </c>
      <c r="AP3" s="241"/>
      <c r="AQ3" s="242" t="s">
        <v>910</v>
      </c>
      <c r="AR3" s="242" t="s">
        <v>911</v>
      </c>
      <c r="AS3" s="256" t="s">
        <v>687</v>
      </c>
      <c r="AT3" s="256" t="s">
        <v>688</v>
      </c>
      <c r="AU3" s="256" t="s">
        <v>689</v>
      </c>
      <c r="AV3" s="256" t="s">
        <v>690</v>
      </c>
      <c r="AW3" s="256" t="s">
        <v>616</v>
      </c>
      <c r="AX3" s="256" t="s">
        <v>691</v>
      </c>
      <c r="AY3" s="256" t="s">
        <v>692</v>
      </c>
      <c r="AZ3" s="243"/>
      <c r="BA3" s="256" t="s">
        <v>687</v>
      </c>
      <c r="BB3" s="256" t="s">
        <v>688</v>
      </c>
      <c r="BC3" s="256" t="s">
        <v>689</v>
      </c>
      <c r="BD3" s="256" t="s">
        <v>690</v>
      </c>
      <c r="BE3" s="256" t="s">
        <v>616</v>
      </c>
      <c r="BF3" s="256" t="s">
        <v>691</v>
      </c>
      <c r="BG3" s="256" t="s">
        <v>692</v>
      </c>
      <c r="BH3" s="256"/>
      <c r="BI3" s="405" t="s">
        <v>687</v>
      </c>
      <c r="BJ3" s="405" t="s">
        <v>688</v>
      </c>
      <c r="BK3" s="405" t="s">
        <v>689</v>
      </c>
      <c r="BL3" s="405" t="s">
        <v>690</v>
      </c>
      <c r="BM3" s="405" t="s">
        <v>616</v>
      </c>
      <c r="BN3" s="405" t="s">
        <v>691</v>
      </c>
      <c r="BO3" s="405" t="s">
        <v>692</v>
      </c>
      <c r="BP3" s="244" t="s">
        <v>911</v>
      </c>
      <c r="BQ3" s="256" t="s">
        <v>687</v>
      </c>
      <c r="BR3" s="256" t="s">
        <v>688</v>
      </c>
      <c r="BS3" s="256" t="s">
        <v>689</v>
      </c>
      <c r="BT3" s="256" t="s">
        <v>690</v>
      </c>
      <c r="BU3" s="256" t="s">
        <v>616</v>
      </c>
      <c r="BV3" s="256" t="s">
        <v>691</v>
      </c>
      <c r="BW3" s="256" t="s">
        <v>692</v>
      </c>
      <c r="BX3" s="106" t="s">
        <v>912</v>
      </c>
      <c r="BY3" s="243"/>
      <c r="BZ3" s="243"/>
      <c r="CA3" s="256" t="s">
        <v>687</v>
      </c>
      <c r="CB3" s="256" t="s">
        <v>688</v>
      </c>
      <c r="CC3" s="256" t="s">
        <v>689</v>
      </c>
      <c r="CD3" s="256" t="s">
        <v>690</v>
      </c>
      <c r="CE3" s="256" t="s">
        <v>616</v>
      </c>
      <c r="CF3" s="256" t="s">
        <v>691</v>
      </c>
      <c r="CG3" s="256" t="s">
        <v>692</v>
      </c>
      <c r="CH3" s="243"/>
      <c r="CI3" s="256" t="s">
        <v>687</v>
      </c>
      <c r="CJ3" s="256" t="s">
        <v>688</v>
      </c>
      <c r="CK3" s="256" t="s">
        <v>689</v>
      </c>
      <c r="CL3" s="256" t="s">
        <v>690</v>
      </c>
      <c r="CM3" s="256" t="s">
        <v>616</v>
      </c>
      <c r="CN3" s="256" t="s">
        <v>691</v>
      </c>
      <c r="CO3" s="256" t="s">
        <v>692</v>
      </c>
      <c r="CP3" s="105" t="s">
        <v>911</v>
      </c>
      <c r="CQ3" s="256" t="s">
        <v>687</v>
      </c>
      <c r="CR3" s="256" t="s">
        <v>688</v>
      </c>
      <c r="CS3" s="256" t="s">
        <v>689</v>
      </c>
      <c r="CT3" s="256" t="s">
        <v>690</v>
      </c>
      <c r="CU3" s="256" t="s">
        <v>616</v>
      </c>
      <c r="CV3" s="256" t="s">
        <v>691</v>
      </c>
      <c r="CW3" s="256" t="s">
        <v>692</v>
      </c>
      <c r="CX3" s="106" t="s">
        <v>912</v>
      </c>
      <c r="CY3" s="256" t="s">
        <v>687</v>
      </c>
      <c r="CZ3" s="256" t="s">
        <v>688</v>
      </c>
      <c r="DA3" s="256" t="s">
        <v>689</v>
      </c>
      <c r="DB3" s="256" t="s">
        <v>690</v>
      </c>
      <c r="DC3" s="256" t="s">
        <v>616</v>
      </c>
      <c r="DD3" s="256" t="s">
        <v>1018</v>
      </c>
      <c r="DE3" s="256" t="s">
        <v>692</v>
      </c>
      <c r="DF3" s="346" t="s">
        <v>913</v>
      </c>
    </row>
    <row r="4" spans="1:111" s="249" customFormat="1" ht="33.5" customHeight="1" thickBot="1" x14ac:dyDescent="0.4">
      <c r="A4" s="247" t="s">
        <v>914</v>
      </c>
      <c r="B4" s="248"/>
      <c r="C4" s="248"/>
      <c r="D4" s="248"/>
      <c r="E4" s="396"/>
      <c r="F4" s="407"/>
      <c r="G4" s="407"/>
      <c r="H4" s="407"/>
      <c r="I4" s="414" t="str">
        <f ca="1">IF(I2=0,"",IF(I2=1,"1 warning!",I2&amp;" warnings!"))</f>
        <v/>
      </c>
      <c r="J4" s="248"/>
      <c r="K4" s="248"/>
      <c r="L4" s="248"/>
      <c r="M4" s="248"/>
      <c r="N4" s="248"/>
      <c r="O4" s="250"/>
      <c r="R4" s="250"/>
      <c r="S4" s="250"/>
      <c r="T4" s="250"/>
      <c r="U4" s="251"/>
      <c r="V4" s="251"/>
      <c r="W4" s="248"/>
      <c r="X4" s="248"/>
      <c r="Y4" s="248"/>
      <c r="Z4" s="248">
        <v>4</v>
      </c>
      <c r="AA4" s="250">
        <f t="shared" ref="AA4:AG4" ca="1" si="15">SUM(AA6:AA59)</f>
        <v>55</v>
      </c>
      <c r="AB4" s="250">
        <f t="shared" ca="1" si="15"/>
        <v>7</v>
      </c>
      <c r="AC4" s="250">
        <f t="shared" ca="1" si="15"/>
        <v>33</v>
      </c>
      <c r="AD4" s="250">
        <f t="shared" ca="1" si="15"/>
        <v>36</v>
      </c>
      <c r="AE4" s="250">
        <f t="shared" ca="1" si="15"/>
        <v>12</v>
      </c>
      <c r="AF4" s="250">
        <f t="shared" ca="1" si="15"/>
        <v>12</v>
      </c>
      <c r="AG4" s="250">
        <f t="shared" ca="1" si="15"/>
        <v>16</v>
      </c>
      <c r="AH4" s="252"/>
      <c r="AI4" s="250">
        <f t="shared" ref="AI4:AO4" ca="1" si="16">SUM(AI6:AI59)</f>
        <v>0</v>
      </c>
      <c r="AJ4" s="250">
        <f t="shared" ca="1" si="16"/>
        <v>-2</v>
      </c>
      <c r="AK4" s="250">
        <f t="shared" ca="1" si="16"/>
        <v>0</v>
      </c>
      <c r="AL4" s="250">
        <f t="shared" ca="1" si="16"/>
        <v>0</v>
      </c>
      <c r="AM4" s="250">
        <f t="shared" ca="1" si="16"/>
        <v>0</v>
      </c>
      <c r="AN4" s="250">
        <f t="shared" ca="1" si="16"/>
        <v>0</v>
      </c>
      <c r="AO4" s="250">
        <f t="shared" ca="1" si="16"/>
        <v>0</v>
      </c>
      <c r="AP4" s="252"/>
      <c r="AQ4" s="252"/>
      <c r="AR4" s="253">
        <f>IF('Building Information'!G33=_general!C62,ROW(Weightings!A4),IF('Building Information'!G18=_general!C2,ROW(Weightings!A28),ROW(Weightings!A49)))</f>
        <v>49</v>
      </c>
      <c r="BA4" s="254">
        <f t="shared" ref="BA4:BG4" ca="1" si="17">SUM(BA6:BA59)</f>
        <v>9.985571544365154</v>
      </c>
      <c r="BB4" s="254">
        <f t="shared" ca="1" si="17"/>
        <v>1.4968711501821519</v>
      </c>
      <c r="BC4" s="254">
        <f t="shared" ca="1" si="17"/>
        <v>4.5999999999999996</v>
      </c>
      <c r="BD4" s="254">
        <f t="shared" ca="1" si="17"/>
        <v>4.3000000000000007</v>
      </c>
      <c r="BE4" s="254">
        <f t="shared" ca="1" si="17"/>
        <v>3.8</v>
      </c>
      <c r="BF4" s="254">
        <f t="shared" ca="1" si="17"/>
        <v>2.18390634137636</v>
      </c>
      <c r="BG4" s="254">
        <f t="shared" ca="1" si="17"/>
        <v>2.2571428571428576</v>
      </c>
      <c r="BH4" s="254"/>
      <c r="BI4" s="254">
        <f t="shared" ref="BI4:BO4" ca="1" si="18">SUM(BI6:BI59)</f>
        <v>0</v>
      </c>
      <c r="BJ4" s="254">
        <f t="shared" ca="1" si="18"/>
        <v>0</v>
      </c>
      <c r="BK4" s="254">
        <f t="shared" ca="1" si="18"/>
        <v>0</v>
      </c>
      <c r="BL4" s="254">
        <f t="shared" ca="1" si="18"/>
        <v>0</v>
      </c>
      <c r="BM4" s="254">
        <f t="shared" ca="1" si="18"/>
        <v>0</v>
      </c>
      <c r="BN4" s="254">
        <f t="shared" ca="1" si="18"/>
        <v>0</v>
      </c>
      <c r="BO4" s="254">
        <f t="shared" ca="1" si="18"/>
        <v>0</v>
      </c>
      <c r="BP4" s="250"/>
      <c r="BQ4" s="254">
        <f t="shared" ref="BQ4:BW4" ca="1" si="19">SUM(BQ6:BQ59)</f>
        <v>1.6642619240608596</v>
      </c>
      <c r="BR4" s="254">
        <f t="shared" ca="1" si="19"/>
        <v>0.49895705006071728</v>
      </c>
      <c r="BS4" s="254">
        <f t="shared" ca="1" si="19"/>
        <v>0.38333333333333325</v>
      </c>
      <c r="BT4" s="254">
        <f t="shared" ca="1" si="19"/>
        <v>0.35833333333333328</v>
      </c>
      <c r="BU4" s="254">
        <f t="shared" ca="1" si="19"/>
        <v>0.31666666666666665</v>
      </c>
      <c r="BV4" s="254">
        <f t="shared" ca="1" si="19"/>
        <v>0.36398439022939338</v>
      </c>
      <c r="BW4" s="254">
        <f t="shared" ca="1" si="19"/>
        <v>0.18809523809523809</v>
      </c>
      <c r="BX4" s="255">
        <f ca="1">SUM(BQ4:BW4)</f>
        <v>3.7736319357795418</v>
      </c>
      <c r="CA4" s="250">
        <f t="shared" ref="CA4:CG4" ca="1" si="20">SUM(CA6:CA59)</f>
        <v>72</v>
      </c>
      <c r="CB4" s="250">
        <f t="shared" ca="1" si="20"/>
        <v>22</v>
      </c>
      <c r="CC4" s="250">
        <f t="shared" ca="1" si="20"/>
        <v>43</v>
      </c>
      <c r="CD4" s="250">
        <f t="shared" ca="1" si="20"/>
        <v>59</v>
      </c>
      <c r="CE4" s="250">
        <f t="shared" ca="1" si="20"/>
        <v>16</v>
      </c>
      <c r="CF4" s="250">
        <f t="shared" ca="1" si="20"/>
        <v>26</v>
      </c>
      <c r="CG4" s="250">
        <f t="shared" ca="1" si="20"/>
        <v>33</v>
      </c>
      <c r="CI4" s="254">
        <f t="shared" ref="CI4:CO4" ca="1" si="21">SUM(CI6:CI59)</f>
        <v>12.69549135388637</v>
      </c>
      <c r="CJ4" s="254">
        <f t="shared" ca="1" si="21"/>
        <v>2.9374655742433156</v>
      </c>
      <c r="CK4" s="254">
        <f t="shared" ca="1" si="21"/>
        <v>5.9333333333333345</v>
      </c>
      <c r="CL4" s="254">
        <f t="shared" ca="1" si="21"/>
        <v>7.0000000000000018</v>
      </c>
      <c r="CM4" s="254">
        <f t="shared" ca="1" si="21"/>
        <v>4.5999999999999996</v>
      </c>
      <c r="CN4" s="254">
        <f t="shared" ca="1" si="21"/>
        <v>3.9854995803002939</v>
      </c>
      <c r="CO4" s="254">
        <f t="shared" ca="1" si="21"/>
        <v>4.7142857142857153</v>
      </c>
      <c r="CP4" s="250"/>
      <c r="CQ4" s="254">
        <f t="shared" ref="CQ4:CW4" ca="1" si="22">SUM(CQ6:CQ59)</f>
        <v>2.1159152256477278</v>
      </c>
      <c r="CR4" s="254">
        <f t="shared" ca="1" si="22"/>
        <v>0.9791551914144383</v>
      </c>
      <c r="CS4" s="254">
        <f t="shared" ca="1" si="22"/>
        <v>0.49444444444444424</v>
      </c>
      <c r="CT4" s="254">
        <f t="shared" ca="1" si="22"/>
        <v>0.58333333333333348</v>
      </c>
      <c r="CU4" s="254">
        <f t="shared" ca="1" si="22"/>
        <v>0.3833333333333333</v>
      </c>
      <c r="CV4" s="254">
        <f t="shared" ca="1" si="22"/>
        <v>0.66424993005004895</v>
      </c>
      <c r="CW4" s="254">
        <f t="shared" ca="1" si="22"/>
        <v>0.39285714285714285</v>
      </c>
      <c r="CX4" s="255">
        <f ca="1">SUM(CQ4:CW4)</f>
        <v>5.6132886010804688</v>
      </c>
      <c r="CY4" s="254">
        <f t="shared" ref="CY4:DE4" ca="1" si="23">IF(CQ4&gt;0,BQ4/CQ4,0)</f>
        <v>0.78654470835493551</v>
      </c>
      <c r="CZ4" s="254">
        <f t="shared" ca="1" si="23"/>
        <v>0.50957912947379569</v>
      </c>
      <c r="DA4" s="254">
        <f t="shared" ca="1" si="23"/>
        <v>0.77528089887640461</v>
      </c>
      <c r="DB4" s="254">
        <f t="shared" ca="1" si="23"/>
        <v>0.61428571428571399</v>
      </c>
      <c r="DC4" s="254">
        <f t="shared" ca="1" si="23"/>
        <v>0.82608695652173914</v>
      </c>
      <c r="DD4" s="254">
        <f t="shared" ca="1" si="23"/>
        <v>0.54796300874577197</v>
      </c>
      <c r="DE4" s="254">
        <f t="shared" ca="1" si="23"/>
        <v>0.47878787878787882</v>
      </c>
      <c r="DF4" s="347">
        <f ca="1">IF(I2=0,BX4/CX4,"error, please check functionality levels")</f>
        <v>0.6722675785907708</v>
      </c>
    </row>
    <row r="5" spans="1:111" ht="15" hidden="1" thickBot="1" x14ac:dyDescent="0.4">
      <c r="A5" s="288"/>
      <c r="B5" s="107"/>
      <c r="C5" s="107"/>
      <c r="D5" s="107"/>
      <c r="E5" s="92"/>
      <c r="F5" s="92"/>
      <c r="G5" s="92"/>
      <c r="H5" s="92"/>
      <c r="I5" s="3"/>
      <c r="J5" s="107"/>
      <c r="K5" s="107"/>
      <c r="L5" s="107"/>
      <c r="M5" s="107"/>
      <c r="N5" s="107"/>
      <c r="O5" s="108"/>
      <c r="P5" s="92"/>
      <c r="Q5" s="92"/>
      <c r="R5" s="107"/>
      <c r="S5" s="107"/>
      <c r="T5" s="107"/>
      <c r="AR5" s="109"/>
      <c r="AS5" s="109"/>
      <c r="AT5" s="109"/>
      <c r="AU5" s="109"/>
      <c r="AV5" s="109"/>
      <c r="AW5" s="109"/>
      <c r="AX5" s="109"/>
      <c r="AY5" s="109"/>
      <c r="AZ5" s="77"/>
      <c r="BP5" s="109"/>
      <c r="CP5" s="109"/>
    </row>
    <row r="6" spans="1:111" s="321" customFormat="1" ht="43.5" x14ac:dyDescent="0.35">
      <c r="A6" s="289" t="s">
        <v>21</v>
      </c>
      <c r="B6" s="290" t="s">
        <v>22</v>
      </c>
      <c r="C6" s="290" t="s">
        <v>23</v>
      </c>
      <c r="D6" s="290" t="s">
        <v>24</v>
      </c>
      <c r="E6" s="413">
        <v>3</v>
      </c>
      <c r="F6" s="408">
        <v>1</v>
      </c>
      <c r="G6" s="409">
        <v>0</v>
      </c>
      <c r="H6" s="410">
        <f>1-F6</f>
        <v>0</v>
      </c>
      <c r="I6" s="415" t="str">
        <f ca="1">IF(AND(O6=1,OR(E6="",E6&lt;0,E6&gt;W6,AND(H6&gt;0,OR(G6="",G6&lt;0,G6&gt;W6)),F6&gt;1,F6&lt;0)),_general!$A$83,"")</f>
        <v/>
      </c>
      <c r="J6" s="291" t="s">
        <v>25</v>
      </c>
      <c r="K6" s="291" t="s">
        <v>26</v>
      </c>
      <c r="L6" s="291" t="s">
        <v>27</v>
      </c>
      <c r="M6" s="291" t="s">
        <v>28</v>
      </c>
      <c r="N6" s="291" t="s">
        <v>29</v>
      </c>
      <c r="O6" s="292">
        <f ca="1">IF(AND(INDIRECT(ADDRESS(VLOOKUP(INDIRECT(ADDRESS(ROW(),25)),_general!$A$85:$B$92,2,),7,,,"Building Information"))="yes",NOT('Building Information'!$G$58=_general!$I$8)),1,0)</f>
        <v>1</v>
      </c>
      <c r="P6" s="293"/>
      <c r="Q6" s="293"/>
      <c r="R6" s="294" t="s">
        <v>863</v>
      </c>
      <c r="S6" s="294">
        <f>IF(OR('Building Information'!$G$44="yes",AND('Building Information'!$G$44="no",'Building Information'!$I$44=_general!$J$3)),1,0)</f>
        <v>1</v>
      </c>
      <c r="T6" s="294">
        <f t="shared" ref="T6:T35" ca="1" si="24">IF(OR(O6=1,AND(S6=1,R6="always")),1,0)</f>
        <v>1</v>
      </c>
      <c r="U6" s="315">
        <f t="shared" ref="U6:U35" ca="1" si="25">IF(O6=1,E6,0)</f>
        <v>3</v>
      </c>
      <c r="V6" s="315">
        <f ca="1">IF(O6=1,G6,0)</f>
        <v>0</v>
      </c>
      <c r="W6" s="315">
        <f t="shared" ref="W6:W35" si="26">ISTEXT(J6)+ISTEXT(K6)+ISTEXT(L6)+ISTEXT(M6)+ISTEXT(N6)-1</f>
        <v>4</v>
      </c>
      <c r="X6" s="315">
        <f ca="1">IF(T6=1,W6,0)</f>
        <v>4</v>
      </c>
      <c r="Y6" s="315" t="str">
        <f>VLOOKUP($B6,overview_of_services!$B$2:$T$123,$Y$2,FALSE)</f>
        <v>heating</v>
      </c>
      <c r="Z6" s="315">
        <f ca="1">VLOOKUP(B6,INDIRECT("'"&amp;Y6&amp;"'!"&amp;"C1:Z400"),$Z$2,0)+U6+$Z$4</f>
        <v>11</v>
      </c>
      <c r="AA6" s="323">
        <f t="shared" ref="AA6:AG16" ca="1" si="27">IF($O6=1,INDIRECT(ADDRESS($Z6,AA$2,1,,$Y6)),0)</f>
        <v>2</v>
      </c>
      <c r="AB6" s="315">
        <f t="shared" ca="1" si="27"/>
        <v>0</v>
      </c>
      <c r="AC6" s="315">
        <f t="shared" ca="1" si="27"/>
        <v>2</v>
      </c>
      <c r="AD6" s="315">
        <f t="shared" ca="1" si="27"/>
        <v>3</v>
      </c>
      <c r="AE6" s="315">
        <f t="shared" ca="1" si="27"/>
        <v>0</v>
      </c>
      <c r="AF6" s="315">
        <f t="shared" ca="1" si="27"/>
        <v>1</v>
      </c>
      <c r="AG6" s="315">
        <f t="shared" ca="1" si="27"/>
        <v>0</v>
      </c>
      <c r="AH6" s="315">
        <f ca="1">VLOOKUP(B6,INDIRECT("'"&amp;Y6&amp;"'!"&amp;"C1:Z400"),$Z$2,0)+V6+$Z$4</f>
        <v>8</v>
      </c>
      <c r="AI6" s="315">
        <f ca="1">IF($O6=1,INDIRECT(ADDRESS($AH6,AI$2,1,,$Y6)),0)</f>
        <v>0</v>
      </c>
      <c r="AJ6" s="315">
        <f ca="1">IF($O6=1,INDIRECT(ADDRESS($AH6,AJ$2,1,,$Y6)),0)</f>
        <v>0</v>
      </c>
      <c r="AK6" s="315">
        <f t="shared" ref="AK6:AO21" ca="1" si="28">IF($O6=1,INDIRECT(ADDRESS($AH6,AK$2,1,,$Y6)),0)</f>
        <v>0</v>
      </c>
      <c r="AL6" s="315">
        <f t="shared" ca="1" si="28"/>
        <v>0</v>
      </c>
      <c r="AM6" s="315">
        <f t="shared" ca="1" si="28"/>
        <v>0</v>
      </c>
      <c r="AN6" s="315">
        <f t="shared" ca="1" si="28"/>
        <v>0</v>
      </c>
      <c r="AO6" s="315">
        <f t="shared" ca="1" si="28"/>
        <v>0</v>
      </c>
      <c r="AP6" s="316"/>
      <c r="AQ6" s="316" t="s">
        <v>973</v>
      </c>
      <c r="AR6" s="317">
        <f>VLOOKUP(Y6,_general!$A$65:$B$73,2,FALSE)+$AR$4</f>
        <v>54</v>
      </c>
      <c r="AS6" s="318">
        <f ca="1">INDIRECT(ADDRESS($AR6,AS$2,1,,"Weightings"))</f>
        <v>0.31063256064616018</v>
      </c>
      <c r="AT6" s="318">
        <f t="shared" ref="AT6:AY21" ca="1" si="29">INDIRECT(ADDRESS($AR6,AT$2,1,,"Weightings"))</f>
        <v>0.28992372326974952</v>
      </c>
      <c r="AU6" s="318">
        <f t="shared" ca="1" si="29"/>
        <v>0.13333333333333333</v>
      </c>
      <c r="AV6" s="318">
        <f t="shared" ca="1" si="29"/>
        <v>0.1</v>
      </c>
      <c r="AW6" s="318">
        <f t="shared" ca="1" si="29"/>
        <v>0</v>
      </c>
      <c r="AX6" s="318">
        <f t="shared" ca="1" si="29"/>
        <v>0.31063256064616018</v>
      </c>
      <c r="AY6" s="318">
        <f t="shared" ca="1" si="29"/>
        <v>0.1142857142857143</v>
      </c>
      <c r="AZ6" s="432"/>
      <c r="BA6" s="319">
        <f ca="1">AA6*AS6</f>
        <v>0.62126512129232037</v>
      </c>
      <c r="BB6" s="319">
        <f t="shared" ref="BB6:BG6" ca="1" si="30">AB6*AT6</f>
        <v>0</v>
      </c>
      <c r="BC6" s="319">
        <f t="shared" ca="1" si="30"/>
        <v>0.26666666666666666</v>
      </c>
      <c r="BD6" s="319">
        <f t="shared" ca="1" si="30"/>
        <v>0.30000000000000004</v>
      </c>
      <c r="BE6" s="319">
        <f t="shared" ca="1" si="30"/>
        <v>0</v>
      </c>
      <c r="BF6" s="319">
        <f t="shared" ca="1" si="30"/>
        <v>0.31063256064616018</v>
      </c>
      <c r="BG6" s="319">
        <f t="shared" ca="1" si="30"/>
        <v>0</v>
      </c>
      <c r="BH6" s="433"/>
      <c r="BI6" s="427">
        <f>IF($H6&gt;0,AI6*AS6,0)</f>
        <v>0</v>
      </c>
      <c r="BJ6" s="427">
        <f t="shared" ref="BJ6:BO6" si="31">IF($H6&gt;0,AJ6*AT6,0)</f>
        <v>0</v>
      </c>
      <c r="BK6" s="427">
        <f t="shared" si="31"/>
        <v>0</v>
      </c>
      <c r="BL6" s="427">
        <f t="shared" si="31"/>
        <v>0</v>
      </c>
      <c r="BM6" s="427">
        <f t="shared" si="31"/>
        <v>0</v>
      </c>
      <c r="BN6" s="427">
        <f t="shared" si="31"/>
        <v>0</v>
      </c>
      <c r="BO6" s="427">
        <f t="shared" si="31"/>
        <v>0</v>
      </c>
      <c r="BP6" s="435">
        <f>$AR$4+18</f>
        <v>67</v>
      </c>
      <c r="BQ6" s="319">
        <f ca="1">INDIRECT(ADDRESS($BP6,BQ$2,1,,"Weightings"))*(BA6*$F6+BI6*$H6)</f>
        <v>0.10354418688205339</v>
      </c>
      <c r="BR6" s="319">
        <f t="shared" ref="BR6:BW6" ca="1" si="32">INDIRECT(ADDRESS($BP6,BR$2,1,,"Weightings"))*(BB6*$F6+BJ6*$H6)</f>
        <v>0</v>
      </c>
      <c r="BS6" s="319">
        <f t="shared" ca="1" si="32"/>
        <v>2.222222222222222E-2</v>
      </c>
      <c r="BT6" s="319">
        <f t="shared" ca="1" si="32"/>
        <v>2.5000000000000001E-2</v>
      </c>
      <c r="BU6" s="319">
        <f t="shared" ca="1" si="32"/>
        <v>0</v>
      </c>
      <c r="BV6" s="319">
        <f t="shared" ca="1" si="32"/>
        <v>5.1772093441026693E-2</v>
      </c>
      <c r="BW6" s="319">
        <f t="shared" ca="1" si="32"/>
        <v>0</v>
      </c>
      <c r="BY6" s="315" t="str">
        <f>Y6</f>
        <v>heating</v>
      </c>
      <c r="BZ6" s="315">
        <f t="shared" ref="BZ6:BZ35" ca="1" si="33">VLOOKUP(B6,INDIRECT("'"&amp;Y6&amp;"'!"&amp;"C1:Z500"),$Z$2,0)+X6+$Z$4</f>
        <v>12</v>
      </c>
      <c r="CA6" s="315">
        <f t="shared" ref="CA6:CA35" ca="1" si="34">IF($O6=1,INDIRECT(ADDRESS($BZ6,AI$2,1,,$BY6)),0)</f>
        <v>3</v>
      </c>
      <c r="CB6" s="315">
        <f t="shared" ref="CB6:CB35" ca="1" si="35">IF($O6=1,INDIRECT(ADDRESS($BZ6,AJ$2,1,,$BY6)),0)</f>
        <v>0</v>
      </c>
      <c r="CC6" s="315">
        <f t="shared" ref="CC6:CC35" ca="1" si="36">IF($O6=1,INDIRECT(ADDRESS($BZ6,AK$2,1,,$BY6)),0)</f>
        <v>2</v>
      </c>
      <c r="CD6" s="315">
        <f t="shared" ref="CD6:CD35" ca="1" si="37">IF($O6=1,INDIRECT(ADDRESS($BZ6,AL$2,1,,$BY6)),0)</f>
        <v>3</v>
      </c>
      <c r="CE6" s="315">
        <f t="shared" ref="CE6:CE35" ca="1" si="38">IF($O6=1,INDIRECT(ADDRESS($BZ6,AM$2,1,,$BY6)),0)</f>
        <v>0</v>
      </c>
      <c r="CF6" s="315">
        <f t="shared" ref="CF6:CF35" ca="1" si="39">IF($O6=1,INDIRECT(ADDRESS($BZ6,AN$2,1,,$BY6)),0)</f>
        <v>1</v>
      </c>
      <c r="CG6" s="315">
        <f t="shared" ref="CG6:CG35" ca="1" si="40">IF($O6=1,INDIRECT(ADDRESS($BZ6,AO$2,1,,$BY6)),0)</f>
        <v>0</v>
      </c>
      <c r="CI6" s="319">
        <f ca="1">AS6*CA6</f>
        <v>0.93189768193848055</v>
      </c>
      <c r="CJ6" s="319">
        <f t="shared" ref="CJ6" ca="1" si="41">AT6*CB6</f>
        <v>0</v>
      </c>
      <c r="CK6" s="319">
        <f t="shared" ref="CK6" ca="1" si="42">AU6*CC6</f>
        <v>0.26666666666666666</v>
      </c>
      <c r="CL6" s="319">
        <f t="shared" ref="CL6" ca="1" si="43">AV6*CD6</f>
        <v>0.30000000000000004</v>
      </c>
      <c r="CM6" s="319">
        <f t="shared" ref="CM6" ca="1" si="44">AW6*CE6</f>
        <v>0</v>
      </c>
      <c r="CN6" s="319">
        <f t="shared" ref="CN6" ca="1" si="45">AX6*CF6</f>
        <v>0.31063256064616018</v>
      </c>
      <c r="CO6" s="319">
        <f t="shared" ref="CO6" ca="1" si="46">AY6*CG6</f>
        <v>0</v>
      </c>
      <c r="CP6" s="320">
        <f>BP6</f>
        <v>67</v>
      </c>
      <c r="CQ6" s="319">
        <f t="shared" ref="CQ6:CQ35" ca="1" si="47">INDIRECT(ADDRESS($CP6,CQ$2,1,,"Weightings"))*CI6</f>
        <v>0.15531628032308009</v>
      </c>
      <c r="CR6" s="319">
        <f t="shared" ref="CR6:CR35" ca="1" si="48">INDIRECT(ADDRESS($BP6,CR$2,1,,"Weightings"))*CJ6</f>
        <v>0</v>
      </c>
      <c r="CS6" s="319">
        <f t="shared" ref="CS6:CS35" ca="1" si="49">INDIRECT(ADDRESS($BP6,CS$2,1,,"Weightings"))*CK6</f>
        <v>2.222222222222222E-2</v>
      </c>
      <c r="CT6" s="319">
        <f t="shared" ref="CT6:CT35" ca="1" si="50">INDIRECT(ADDRESS($BP6,CT$2,1,,"Weightings"))*CL6</f>
        <v>2.5000000000000001E-2</v>
      </c>
      <c r="CU6" s="319">
        <f t="shared" ref="CU6:CU35" ca="1" si="51">INDIRECT(ADDRESS($BP6,CU$2,1,,"Weightings"))*CM6</f>
        <v>0</v>
      </c>
      <c r="CV6" s="319">
        <f t="shared" ref="CV6:CV35" ca="1" si="52">INDIRECT(ADDRESS($BP6,CV$2,1,,"Weightings"))*CN6</f>
        <v>5.1772093441026693E-2</v>
      </c>
      <c r="CW6" s="319">
        <f t="shared" ref="CW6:CW35" ca="1" si="53">INDIRECT(ADDRESS($BP6,CW$2,1,,"Weightings"))*CO6</f>
        <v>0</v>
      </c>
      <c r="CY6" s="322"/>
      <c r="CZ6" s="322"/>
      <c r="DA6" s="322"/>
      <c r="DB6" s="322"/>
      <c r="DC6" s="322"/>
      <c r="DD6" s="322"/>
      <c r="DE6" s="322"/>
      <c r="DF6" s="416"/>
      <c r="DG6" s="416"/>
    </row>
    <row r="7" spans="1:111" s="330" customFormat="1" ht="43.5" x14ac:dyDescent="0.35">
      <c r="A7" s="295" t="s">
        <v>21</v>
      </c>
      <c r="B7" s="11" t="s">
        <v>38</v>
      </c>
      <c r="C7" s="11" t="s">
        <v>23</v>
      </c>
      <c r="D7" s="11" t="s">
        <v>39</v>
      </c>
      <c r="E7" s="411">
        <v>3</v>
      </c>
      <c r="F7" s="412">
        <v>0.9</v>
      </c>
      <c r="G7" s="411">
        <v>0</v>
      </c>
      <c r="H7" s="406">
        <f>1-F7</f>
        <v>9.9999999999999978E-2</v>
      </c>
      <c r="I7" s="415" t="str">
        <f ca="1">IF(AND(O7=1,OR(E7="",E7&lt;0,E7&gt;W7,AND(H7&gt;0,OR(G7="",G7&lt;0,G7&gt;W7)),F7&gt;1,F7&lt;0)),_general!$A$83,"")</f>
        <v/>
      </c>
      <c r="J7" s="110" t="s">
        <v>25</v>
      </c>
      <c r="K7" s="110" t="s">
        <v>40</v>
      </c>
      <c r="L7" s="110" t="s">
        <v>41</v>
      </c>
      <c r="M7" s="110" t="s">
        <v>42</v>
      </c>
      <c r="N7" s="110"/>
      <c r="O7" s="48">
        <f ca="1">IF(AND(INDIRECT(ADDRESS(VLOOKUP(INDIRECT(ADDRESS(ROW(),25)),_general!$A$85:$B$92,2,),7,,,"Building Information"))="yes",'Building Information'!$G$58=_general!$I$8),1,0)</f>
        <v>0</v>
      </c>
      <c r="P7" s="111"/>
      <c r="Q7" s="111"/>
      <c r="R7" s="142" t="s">
        <v>863</v>
      </c>
      <c r="S7" s="142">
        <f>IF(OR('Building Information'!$G$44="yes",AND('Building Information'!$G$44="no",'Building Information'!$I$44=_general!$J$3)),1,0)</f>
        <v>1</v>
      </c>
      <c r="T7" s="142">
        <f t="shared" ca="1" si="24"/>
        <v>0</v>
      </c>
      <c r="U7" s="323">
        <f t="shared" ca="1" si="25"/>
        <v>0</v>
      </c>
      <c r="V7" s="323">
        <f t="shared" ref="V7:V59" ca="1" si="54">IF(O7=1,G7,0)</f>
        <v>0</v>
      </c>
      <c r="W7" s="323">
        <f t="shared" si="26"/>
        <v>3</v>
      </c>
      <c r="X7" s="323">
        <f t="shared" ref="X7:X59" ca="1" si="55">IF(T7=1,W7,0)</f>
        <v>0</v>
      </c>
      <c r="Y7" s="323" t="str">
        <f>VLOOKUP($B7,overview_of_services!$B$2:$T$123,$Y$2,FALSE)</f>
        <v>heating</v>
      </c>
      <c r="Z7" s="323">
        <f t="shared" ref="Z7:Z35" ca="1" si="56">VLOOKUP(B7,INDIRECT("'"&amp;Y7&amp;"'!"&amp;"C1:Z400"),$Z$2,0)+U7+$Z$4</f>
        <v>22</v>
      </c>
      <c r="AA7" s="323">
        <f t="shared" ca="1" si="27"/>
        <v>0</v>
      </c>
      <c r="AB7" s="323">
        <f t="shared" ca="1" si="27"/>
        <v>0</v>
      </c>
      <c r="AC7" s="323">
        <f t="shared" ca="1" si="27"/>
        <v>0</v>
      </c>
      <c r="AD7" s="323">
        <f t="shared" ca="1" si="27"/>
        <v>0</v>
      </c>
      <c r="AE7" s="323">
        <f t="shared" ca="1" si="27"/>
        <v>0</v>
      </c>
      <c r="AF7" s="323">
        <f t="shared" ca="1" si="27"/>
        <v>0</v>
      </c>
      <c r="AG7" s="323">
        <f t="shared" ca="1" si="27"/>
        <v>0</v>
      </c>
      <c r="AH7" s="323">
        <f t="shared" ref="AH7:AH59" ca="1" si="57">VLOOKUP(B7,INDIRECT("'"&amp;Y7&amp;"'!"&amp;"C1:Z400"),$Z$2,0)+V7+$Z$4</f>
        <v>22</v>
      </c>
      <c r="AI7" s="323">
        <f t="shared" ref="AI7:AO36" ca="1" si="58">IF($O7=1,INDIRECT(ADDRESS($AH7,AI$2,1,,$Y7)),0)</f>
        <v>0</v>
      </c>
      <c r="AJ7" s="323">
        <f t="shared" ca="1" si="58"/>
        <v>0</v>
      </c>
      <c r="AK7" s="323">
        <f t="shared" ca="1" si="28"/>
        <v>0</v>
      </c>
      <c r="AL7" s="323">
        <f t="shared" ca="1" si="28"/>
        <v>0</v>
      </c>
      <c r="AM7" s="323">
        <f t="shared" ca="1" si="28"/>
        <v>0</v>
      </c>
      <c r="AN7" s="323">
        <f t="shared" ca="1" si="28"/>
        <v>0</v>
      </c>
      <c r="AO7" s="323">
        <f t="shared" ca="1" si="28"/>
        <v>0</v>
      </c>
      <c r="AP7" s="324"/>
      <c r="AQ7" s="324" t="s">
        <v>973</v>
      </c>
      <c r="AR7" s="325">
        <f>VLOOKUP(Y7,_general!$A$65:$B$73,2,FALSE)+$AR$4</f>
        <v>54</v>
      </c>
      <c r="AS7" s="326">
        <f t="shared" ref="AS7:AY36" ca="1" si="59">INDIRECT(ADDRESS($AR7,AS$2,1,,"Weightings"))</f>
        <v>0.31063256064616018</v>
      </c>
      <c r="AT7" s="326">
        <f t="shared" ca="1" si="29"/>
        <v>0.28992372326974952</v>
      </c>
      <c r="AU7" s="326">
        <f t="shared" ca="1" si="29"/>
        <v>0.13333333333333333</v>
      </c>
      <c r="AV7" s="326">
        <f t="shared" ca="1" si="29"/>
        <v>0.1</v>
      </c>
      <c r="AW7" s="326">
        <f t="shared" ca="1" si="29"/>
        <v>0</v>
      </c>
      <c r="AX7" s="326">
        <f t="shared" ca="1" si="29"/>
        <v>0.31063256064616018</v>
      </c>
      <c r="AY7" s="326">
        <f t="shared" ca="1" si="29"/>
        <v>0.1142857142857143</v>
      </c>
      <c r="AZ7" s="429"/>
      <c r="BA7" s="427">
        <f ca="1">AA7*AS7</f>
        <v>0</v>
      </c>
      <c r="BB7" s="427">
        <f t="shared" ref="BB7:BB8" ca="1" si="60">AB7*AT7</f>
        <v>0</v>
      </c>
      <c r="BC7" s="427">
        <f t="shared" ref="BC7:BC8" ca="1" si="61">AC7*AU7</f>
        <v>0</v>
      </c>
      <c r="BD7" s="427">
        <f t="shared" ref="BD7:BD8" ca="1" si="62">AD7*AV7</f>
        <v>0</v>
      </c>
      <c r="BE7" s="427">
        <f t="shared" ref="BE7:BE8" ca="1" si="63">AE7*AW7</f>
        <v>0</v>
      </c>
      <c r="BF7" s="427">
        <f t="shared" ref="BF7:BF8" ca="1" si="64">AF7*AX7</f>
        <v>0</v>
      </c>
      <c r="BG7" s="427">
        <f t="shared" ref="BG7:BG8" ca="1" si="65">AG7*AY7</f>
        <v>0</v>
      </c>
      <c r="BH7" s="434"/>
      <c r="BI7" s="427">
        <f ca="1">IF($H7&gt;0,AI7*AS7,0)</f>
        <v>0</v>
      </c>
      <c r="BJ7" s="427">
        <f t="shared" ref="BJ7:BJ8" ca="1" si="66">IF($H7&gt;0,AJ7*AT7,0)</f>
        <v>0</v>
      </c>
      <c r="BK7" s="427">
        <f t="shared" ref="BK7:BK8" ca="1" si="67">IF($H7&gt;0,AK7*AU7,0)</f>
        <v>0</v>
      </c>
      <c r="BL7" s="427">
        <f t="shared" ref="BL7:BL8" ca="1" si="68">IF($H7&gt;0,AL7*AV7,0)</f>
        <v>0</v>
      </c>
      <c r="BM7" s="427">
        <f t="shared" ref="BM7:BM8" ca="1" si="69">IF($H7&gt;0,AM7*AW7,0)</f>
        <v>0</v>
      </c>
      <c r="BN7" s="427">
        <f t="shared" ref="BN7:BN8" ca="1" si="70">IF($H7&gt;0,AN7*AX7,0)</f>
        <v>0</v>
      </c>
      <c r="BO7" s="427">
        <f t="shared" ref="BO7:BO8" ca="1" si="71">IF($H7&gt;0,AO7*AY7,0)</f>
        <v>0</v>
      </c>
      <c r="BP7" s="428">
        <f t="shared" ref="BP7:BP59" si="72">$AR$4+18</f>
        <v>67</v>
      </c>
      <c r="BQ7" s="327">
        <f ca="1">INDIRECT(ADDRESS($BP7,BQ$2,1,,"Weightings"))*(BA7*$F7+BI7*$H7)</f>
        <v>0</v>
      </c>
      <c r="BR7" s="327">
        <f t="shared" ref="BR7:BR59" ca="1" si="73">INDIRECT(ADDRESS($BP7,BR$2,1,,"Weightings"))*(BB7*$F7+BJ7*$H7)</f>
        <v>0</v>
      </c>
      <c r="BS7" s="327">
        <f t="shared" ref="BS7:BS59" ca="1" si="74">INDIRECT(ADDRESS($BP7,BS$2,1,,"Weightings"))*(BC7*$F7+BK7*$H7)</f>
        <v>0</v>
      </c>
      <c r="BT7" s="327">
        <f t="shared" ref="BT7:BT59" ca="1" si="75">INDIRECT(ADDRESS($BP7,BT$2,1,,"Weightings"))*(BD7*$F7+BL7*$H7)</f>
        <v>0</v>
      </c>
      <c r="BU7" s="327">
        <f t="shared" ref="BU7:BU59" ca="1" si="76">INDIRECT(ADDRESS($BP7,BU$2,1,,"Weightings"))*(BE7*$F7+BM7*$H7)</f>
        <v>0</v>
      </c>
      <c r="BV7" s="327">
        <f t="shared" ref="BV7:BV59" ca="1" si="77">INDIRECT(ADDRESS($BP7,BV$2,1,,"Weightings"))*(BF7*$F7+BN7*$H7)</f>
        <v>0</v>
      </c>
      <c r="BW7" s="327">
        <f t="shared" ref="BW7:BW59" ca="1" si="78">INDIRECT(ADDRESS($BP7,BW$2,1,,"Weightings"))*(BG7*$F7+BO7*$H7)</f>
        <v>0</v>
      </c>
      <c r="BX7" s="329"/>
      <c r="BY7" s="323" t="str">
        <f t="shared" ref="BY7:BY59" si="79">Y7</f>
        <v>heating</v>
      </c>
      <c r="BZ7" s="323">
        <f t="shared" ca="1" si="33"/>
        <v>22</v>
      </c>
      <c r="CA7" s="323">
        <f t="shared" ca="1" si="34"/>
        <v>0</v>
      </c>
      <c r="CB7" s="323">
        <f t="shared" ca="1" si="35"/>
        <v>0</v>
      </c>
      <c r="CC7" s="323">
        <f t="shared" ca="1" si="36"/>
        <v>0</v>
      </c>
      <c r="CD7" s="323">
        <f t="shared" ca="1" si="37"/>
        <v>0</v>
      </c>
      <c r="CE7" s="323">
        <f t="shared" ca="1" si="38"/>
        <v>0</v>
      </c>
      <c r="CF7" s="323">
        <f t="shared" ca="1" si="39"/>
        <v>0</v>
      </c>
      <c r="CG7" s="323">
        <f t="shared" ca="1" si="40"/>
        <v>0</v>
      </c>
      <c r="CI7" s="327">
        <f t="shared" ref="CI7:CI59" ca="1" si="80">AS7*CA7</f>
        <v>0</v>
      </c>
      <c r="CJ7" s="327">
        <f t="shared" ref="CJ7:CJ59" ca="1" si="81">AT7*CB7</f>
        <v>0</v>
      </c>
      <c r="CK7" s="327">
        <f t="shared" ref="CK7:CK59" ca="1" si="82">AU7*CC7</f>
        <v>0</v>
      </c>
      <c r="CL7" s="327">
        <f t="shared" ref="CL7:CL59" ca="1" si="83">AV7*CD7</f>
        <v>0</v>
      </c>
      <c r="CM7" s="327">
        <f t="shared" ref="CM7:CM59" ca="1" si="84">AW7*CE7</f>
        <v>0</v>
      </c>
      <c r="CN7" s="327">
        <f t="shared" ref="CN7:CN59" ca="1" si="85">AX7*CF7</f>
        <v>0</v>
      </c>
      <c r="CO7" s="327">
        <f t="shared" ref="CO7:CO59" ca="1" si="86">AY7*CG7</f>
        <v>0</v>
      </c>
      <c r="CP7" s="328">
        <f t="shared" ref="CP7:CP59" si="87">BP7</f>
        <v>67</v>
      </c>
      <c r="CQ7" s="327">
        <f t="shared" ca="1" si="47"/>
        <v>0</v>
      </c>
      <c r="CR7" s="327">
        <f t="shared" ca="1" si="48"/>
        <v>0</v>
      </c>
      <c r="CS7" s="327">
        <f t="shared" ca="1" si="49"/>
        <v>0</v>
      </c>
      <c r="CT7" s="327">
        <f t="shared" ca="1" si="50"/>
        <v>0</v>
      </c>
      <c r="CU7" s="327">
        <f t="shared" ca="1" si="51"/>
        <v>0</v>
      </c>
      <c r="CV7" s="327">
        <f t="shared" ca="1" si="52"/>
        <v>0</v>
      </c>
      <c r="CW7" s="327">
        <f t="shared" ca="1" si="53"/>
        <v>0</v>
      </c>
      <c r="CY7" s="331"/>
      <c r="CZ7" s="331"/>
      <c r="DA7" s="331"/>
      <c r="DB7" s="331"/>
      <c r="DC7" s="331"/>
      <c r="DD7" s="331"/>
      <c r="DE7" s="331"/>
      <c r="DF7" s="417"/>
      <c r="DG7" s="417"/>
    </row>
    <row r="8" spans="1:111" s="329" customFormat="1" ht="50.4" customHeight="1" x14ac:dyDescent="0.35">
      <c r="A8" s="296" t="s">
        <v>21</v>
      </c>
      <c r="B8" s="11" t="s">
        <v>46</v>
      </c>
      <c r="C8" s="11" t="s">
        <v>23</v>
      </c>
      <c r="D8" s="11" t="s">
        <v>47</v>
      </c>
      <c r="E8" s="411">
        <v>2</v>
      </c>
      <c r="F8" s="412">
        <v>1</v>
      </c>
      <c r="G8" s="411">
        <v>0</v>
      </c>
      <c r="H8" s="406">
        <f t="shared" ref="H8:H59" si="88">1-F8</f>
        <v>0</v>
      </c>
      <c r="I8" s="415" t="str">
        <f ca="1">IF(AND(O8=1,OR(E8="",E8&lt;0,E8&gt;W8,AND(H8&gt;0,OR(G8="",G8&lt;0,G8&gt;W8)),F8&gt;1,F8&lt;0)),_general!$A$83,"")</f>
        <v/>
      </c>
      <c r="J8" s="110" t="s">
        <v>25</v>
      </c>
      <c r="K8" s="110" t="s">
        <v>48</v>
      </c>
      <c r="L8" s="110" t="s">
        <v>49</v>
      </c>
      <c r="M8" s="110"/>
      <c r="N8" s="110"/>
      <c r="O8" s="48">
        <f ca="1">IF(AND(INDIRECT(ADDRESS(VLOOKUP(INDIRECT(ADDRESS(ROW(),25)),_general!$A$85:$B$92,2,),7,,,"Building Information"))="yes",NOT('Building Information'!G59=_general!I16)),1,0)</f>
        <v>1</v>
      </c>
      <c r="P8" s="111"/>
      <c r="Q8" s="111"/>
      <c r="R8" s="142" t="s">
        <v>863</v>
      </c>
      <c r="S8" s="142">
        <f>IF(OR('Building Information'!$G$44="yes",AND('Building Information'!$G$44="no",'Building Information'!$I$44=_general!$J$3)),1,0)</f>
        <v>1</v>
      </c>
      <c r="T8" s="142">
        <f t="shared" ca="1" si="24"/>
        <v>1</v>
      </c>
      <c r="U8" s="323">
        <f t="shared" ca="1" si="25"/>
        <v>2</v>
      </c>
      <c r="V8" s="323">
        <f t="shared" ca="1" si="54"/>
        <v>0</v>
      </c>
      <c r="W8" s="323">
        <f t="shared" si="26"/>
        <v>2</v>
      </c>
      <c r="X8" s="323">
        <f t="shared" ca="1" si="55"/>
        <v>2</v>
      </c>
      <c r="Y8" s="323" t="str">
        <f>VLOOKUP($B8,overview_of_services!$B$2:$T$123,$Y$2,FALSE)</f>
        <v>heating</v>
      </c>
      <c r="Z8" s="323">
        <f t="shared" ca="1" si="56"/>
        <v>38</v>
      </c>
      <c r="AA8" s="323">
        <f t="shared" ca="1" si="27"/>
        <v>2</v>
      </c>
      <c r="AB8" s="323">
        <f t="shared" ca="1" si="27"/>
        <v>0</v>
      </c>
      <c r="AC8" s="323">
        <f t="shared" ca="1" si="27"/>
        <v>1</v>
      </c>
      <c r="AD8" s="323">
        <f t="shared" ca="1" si="27"/>
        <v>2</v>
      </c>
      <c r="AE8" s="323">
        <f t="shared" ca="1" si="27"/>
        <v>0</v>
      </c>
      <c r="AF8" s="323">
        <f t="shared" ca="1" si="27"/>
        <v>1</v>
      </c>
      <c r="AG8" s="323">
        <f t="shared" ca="1" si="27"/>
        <v>0</v>
      </c>
      <c r="AH8" s="323">
        <f t="shared" ca="1" si="57"/>
        <v>36</v>
      </c>
      <c r="AI8" s="323">
        <f t="shared" ca="1" si="58"/>
        <v>0</v>
      </c>
      <c r="AJ8" s="323">
        <f t="shared" ca="1" si="58"/>
        <v>0</v>
      </c>
      <c r="AK8" s="323">
        <f t="shared" ca="1" si="28"/>
        <v>0</v>
      </c>
      <c r="AL8" s="323">
        <f t="shared" ca="1" si="28"/>
        <v>0</v>
      </c>
      <c r="AM8" s="323">
        <f t="shared" ca="1" si="28"/>
        <v>0</v>
      </c>
      <c r="AN8" s="323">
        <f t="shared" ca="1" si="28"/>
        <v>0</v>
      </c>
      <c r="AO8" s="323">
        <f t="shared" ca="1" si="28"/>
        <v>0</v>
      </c>
      <c r="AP8" s="324"/>
      <c r="AQ8" s="324" t="s">
        <v>973</v>
      </c>
      <c r="AR8" s="325">
        <f>VLOOKUP(Y8,_general!$A$65:$B$73,2,FALSE)+$AR$4</f>
        <v>54</v>
      </c>
      <c r="AS8" s="326">
        <f t="shared" ca="1" si="59"/>
        <v>0.31063256064616018</v>
      </c>
      <c r="AT8" s="326">
        <f t="shared" ca="1" si="29"/>
        <v>0.28992372326974952</v>
      </c>
      <c r="AU8" s="326">
        <f t="shared" ca="1" si="29"/>
        <v>0.13333333333333333</v>
      </c>
      <c r="AV8" s="326">
        <f t="shared" ca="1" si="29"/>
        <v>0.1</v>
      </c>
      <c r="AW8" s="326">
        <f t="shared" ca="1" si="29"/>
        <v>0</v>
      </c>
      <c r="AX8" s="326">
        <f t="shared" ca="1" si="29"/>
        <v>0.31063256064616018</v>
      </c>
      <c r="AY8" s="326">
        <f t="shared" ca="1" si="29"/>
        <v>0.1142857142857143</v>
      </c>
      <c r="AZ8" s="429"/>
      <c r="BA8" s="427">
        <f t="shared" ref="BA8:BA59" ca="1" si="89">AA8*AS8</f>
        <v>0.62126512129232037</v>
      </c>
      <c r="BB8" s="427">
        <f t="shared" ca="1" si="60"/>
        <v>0</v>
      </c>
      <c r="BC8" s="427">
        <f t="shared" ca="1" si="61"/>
        <v>0.13333333333333333</v>
      </c>
      <c r="BD8" s="427">
        <f t="shared" ca="1" si="62"/>
        <v>0.2</v>
      </c>
      <c r="BE8" s="427">
        <f t="shared" ca="1" si="63"/>
        <v>0</v>
      </c>
      <c r="BF8" s="427">
        <f t="shared" ca="1" si="64"/>
        <v>0.31063256064616018</v>
      </c>
      <c r="BG8" s="427">
        <f t="shared" ca="1" si="65"/>
        <v>0</v>
      </c>
      <c r="BH8" s="434"/>
      <c r="BI8" s="427">
        <f t="shared" ref="BI8:BI59" si="90">IF($H8&gt;0,AI8*AS8,0)</f>
        <v>0</v>
      </c>
      <c r="BJ8" s="427">
        <f t="shared" si="66"/>
        <v>0</v>
      </c>
      <c r="BK8" s="427">
        <f t="shared" si="67"/>
        <v>0</v>
      </c>
      <c r="BL8" s="427">
        <f t="shared" si="68"/>
        <v>0</v>
      </c>
      <c r="BM8" s="427">
        <f t="shared" si="69"/>
        <v>0</v>
      </c>
      <c r="BN8" s="427">
        <f t="shared" si="70"/>
        <v>0</v>
      </c>
      <c r="BO8" s="427">
        <f t="shared" si="71"/>
        <v>0</v>
      </c>
      <c r="BP8" s="428">
        <f t="shared" si="72"/>
        <v>67</v>
      </c>
      <c r="BQ8" s="327">
        <f t="shared" ref="BQ8:BQ59" ca="1" si="91">INDIRECT(ADDRESS($BP8,BQ$2,1,,"Weightings"))*(BA8*$F8+BI8*$H8)</f>
        <v>0.10354418688205339</v>
      </c>
      <c r="BR8" s="327">
        <f t="shared" ca="1" si="73"/>
        <v>0</v>
      </c>
      <c r="BS8" s="327">
        <f t="shared" ca="1" si="74"/>
        <v>1.111111111111111E-2</v>
      </c>
      <c r="BT8" s="327">
        <f t="shared" ca="1" si="75"/>
        <v>1.6666666666666666E-2</v>
      </c>
      <c r="BU8" s="327">
        <f t="shared" ca="1" si="76"/>
        <v>0</v>
      </c>
      <c r="BV8" s="327">
        <f t="shared" ca="1" si="77"/>
        <v>5.1772093441026693E-2</v>
      </c>
      <c r="BW8" s="327">
        <f t="shared" ca="1" si="78"/>
        <v>0</v>
      </c>
      <c r="BY8" s="323" t="str">
        <f t="shared" si="79"/>
        <v>heating</v>
      </c>
      <c r="BZ8" s="323">
        <f t="shared" ca="1" si="33"/>
        <v>38</v>
      </c>
      <c r="CA8" s="323">
        <f t="shared" ca="1" si="34"/>
        <v>2</v>
      </c>
      <c r="CB8" s="323">
        <f t="shared" ca="1" si="35"/>
        <v>0</v>
      </c>
      <c r="CC8" s="323">
        <f t="shared" ca="1" si="36"/>
        <v>1</v>
      </c>
      <c r="CD8" s="323">
        <f t="shared" ca="1" si="37"/>
        <v>2</v>
      </c>
      <c r="CE8" s="323">
        <f t="shared" ca="1" si="38"/>
        <v>0</v>
      </c>
      <c r="CF8" s="323">
        <f t="shared" ca="1" si="39"/>
        <v>1</v>
      </c>
      <c r="CG8" s="323">
        <f t="shared" ca="1" si="40"/>
        <v>0</v>
      </c>
      <c r="CI8" s="327">
        <f t="shared" ca="1" si="80"/>
        <v>0.62126512129232037</v>
      </c>
      <c r="CJ8" s="327">
        <f t="shared" ca="1" si="81"/>
        <v>0</v>
      </c>
      <c r="CK8" s="327">
        <f t="shared" ca="1" si="82"/>
        <v>0.13333333333333333</v>
      </c>
      <c r="CL8" s="327">
        <f t="shared" ca="1" si="83"/>
        <v>0.2</v>
      </c>
      <c r="CM8" s="327">
        <f t="shared" ca="1" si="84"/>
        <v>0</v>
      </c>
      <c r="CN8" s="327">
        <f t="shared" ca="1" si="85"/>
        <v>0.31063256064616018</v>
      </c>
      <c r="CO8" s="327">
        <f t="shared" ca="1" si="86"/>
        <v>0</v>
      </c>
      <c r="CP8" s="328">
        <f t="shared" si="87"/>
        <v>67</v>
      </c>
      <c r="CQ8" s="327">
        <f t="shared" ca="1" si="47"/>
        <v>0.10354418688205339</v>
      </c>
      <c r="CR8" s="327">
        <f t="shared" ca="1" si="48"/>
        <v>0</v>
      </c>
      <c r="CS8" s="327">
        <f t="shared" ca="1" si="49"/>
        <v>1.111111111111111E-2</v>
      </c>
      <c r="CT8" s="327">
        <f t="shared" ca="1" si="50"/>
        <v>1.6666666666666666E-2</v>
      </c>
      <c r="CU8" s="327">
        <f t="shared" ca="1" si="51"/>
        <v>0</v>
      </c>
      <c r="CV8" s="327">
        <f t="shared" ca="1" si="52"/>
        <v>5.1772093441026693E-2</v>
      </c>
      <c r="CW8" s="327">
        <f t="shared" ca="1" si="53"/>
        <v>0</v>
      </c>
      <c r="CY8" s="332"/>
      <c r="CZ8" s="332"/>
      <c r="DA8" s="332"/>
      <c r="DB8" s="332"/>
      <c r="DC8" s="332"/>
      <c r="DD8" s="332"/>
      <c r="DE8" s="332"/>
      <c r="DF8" s="417"/>
      <c r="DG8" s="417"/>
    </row>
    <row r="9" spans="1:111" s="329" customFormat="1" ht="29" x14ac:dyDescent="0.35">
      <c r="A9" s="296" t="s">
        <v>21</v>
      </c>
      <c r="B9" s="11" t="s">
        <v>52</v>
      </c>
      <c r="C9" s="11" t="s">
        <v>23</v>
      </c>
      <c r="D9" s="11" t="s">
        <v>53</v>
      </c>
      <c r="E9" s="411">
        <v>3</v>
      </c>
      <c r="F9" s="412">
        <v>1</v>
      </c>
      <c r="G9" s="426">
        <v>0</v>
      </c>
      <c r="H9" s="406">
        <f t="shared" si="88"/>
        <v>0</v>
      </c>
      <c r="I9" s="415" t="str">
        <f ca="1">IF(AND(O9=1,OR(E9="",E9&lt;0,E9&gt;W9,AND(H9&gt;0,OR(G9="",G9&lt;0,G9&gt;W9)),F9&gt;1,F9&lt;0)),_general!$A$83,"")</f>
        <v/>
      </c>
      <c r="J9" s="110" t="s">
        <v>25</v>
      </c>
      <c r="K9" s="110" t="s">
        <v>54</v>
      </c>
      <c r="L9" s="110" t="s">
        <v>55</v>
      </c>
      <c r="M9" s="110" t="s">
        <v>56</v>
      </c>
      <c r="N9" s="110" t="s">
        <v>57</v>
      </c>
      <c r="O9" s="48">
        <f ca="1">IF(AND(INDIRECT(ADDRESS(VLOOKUP(INDIRECT(ADDRESS(ROW(),25)),_general!$A$85:$B$92,2,),7,,,"Building Information"))="yes",NOT('Building Information'!G59=_general!I10)),1,0)</f>
        <v>1</v>
      </c>
      <c r="P9" s="111"/>
      <c r="Q9" s="111"/>
      <c r="R9" s="142" t="s">
        <v>863</v>
      </c>
      <c r="S9" s="142">
        <f>IF(OR('Building Information'!$G$44="yes",AND('Building Information'!$G$44="no",'Building Information'!$I$44=_general!$J$3)),1,0)</f>
        <v>1</v>
      </c>
      <c r="T9" s="142">
        <f t="shared" ca="1" si="24"/>
        <v>1</v>
      </c>
      <c r="U9" s="323">
        <f t="shared" ca="1" si="25"/>
        <v>3</v>
      </c>
      <c r="V9" s="323">
        <f t="shared" ca="1" si="54"/>
        <v>0</v>
      </c>
      <c r="W9" s="323">
        <f t="shared" si="26"/>
        <v>4</v>
      </c>
      <c r="X9" s="323">
        <f t="shared" ca="1" si="55"/>
        <v>4</v>
      </c>
      <c r="Y9" s="323" t="str">
        <f>VLOOKUP($B9,overview_of_services!$B$2:$T$123,$Y$2,FALSE)</f>
        <v>heating</v>
      </c>
      <c r="Z9" s="323">
        <f t="shared" ca="1" si="56"/>
        <v>53</v>
      </c>
      <c r="AA9" s="323">
        <f t="shared" ca="1" si="27"/>
        <v>3</v>
      </c>
      <c r="AB9" s="323">
        <f t="shared" ca="1" si="27"/>
        <v>0</v>
      </c>
      <c r="AC9" s="323">
        <f t="shared" ca="1" si="27"/>
        <v>3</v>
      </c>
      <c r="AD9" s="323">
        <f t="shared" ca="1" si="27"/>
        <v>0</v>
      </c>
      <c r="AE9" s="323">
        <f t="shared" ca="1" si="27"/>
        <v>0</v>
      </c>
      <c r="AF9" s="323">
        <f t="shared" ca="1" si="27"/>
        <v>0</v>
      </c>
      <c r="AG9" s="323">
        <f t="shared" ca="1" si="27"/>
        <v>0</v>
      </c>
      <c r="AH9" s="323">
        <f t="shared" ca="1" si="57"/>
        <v>50</v>
      </c>
      <c r="AI9" s="323">
        <f t="shared" ca="1" si="58"/>
        <v>0</v>
      </c>
      <c r="AJ9" s="323">
        <f t="shared" ca="1" si="58"/>
        <v>0</v>
      </c>
      <c r="AK9" s="323">
        <f t="shared" ca="1" si="28"/>
        <v>0</v>
      </c>
      <c r="AL9" s="323">
        <f t="shared" ca="1" si="28"/>
        <v>0</v>
      </c>
      <c r="AM9" s="323">
        <f t="shared" ca="1" si="28"/>
        <v>0</v>
      </c>
      <c r="AN9" s="323">
        <f t="shared" ca="1" si="28"/>
        <v>0</v>
      </c>
      <c r="AO9" s="323">
        <f t="shared" ca="1" si="28"/>
        <v>0</v>
      </c>
      <c r="AP9" s="324"/>
      <c r="AQ9" s="324" t="s">
        <v>973</v>
      </c>
      <c r="AR9" s="325">
        <f>VLOOKUP(Y9,_general!$A$65:$B$73,2,FALSE)+$AR$4</f>
        <v>54</v>
      </c>
      <c r="AS9" s="326">
        <f t="shared" ca="1" si="59"/>
        <v>0.31063256064616018</v>
      </c>
      <c r="AT9" s="326">
        <f t="shared" ca="1" si="29"/>
        <v>0.28992372326974952</v>
      </c>
      <c r="AU9" s="326">
        <f t="shared" ca="1" si="29"/>
        <v>0.13333333333333333</v>
      </c>
      <c r="AV9" s="326">
        <f t="shared" ca="1" si="29"/>
        <v>0.1</v>
      </c>
      <c r="AW9" s="326">
        <f t="shared" ca="1" si="29"/>
        <v>0</v>
      </c>
      <c r="AX9" s="326">
        <f t="shared" ca="1" si="29"/>
        <v>0.31063256064616018</v>
      </c>
      <c r="AY9" s="326">
        <f t="shared" ca="1" si="29"/>
        <v>0.1142857142857143</v>
      </c>
      <c r="AZ9" s="429"/>
      <c r="BA9" s="427">
        <f t="shared" ca="1" si="89"/>
        <v>0.93189768193848055</v>
      </c>
      <c r="BB9" s="427">
        <f t="shared" ref="BB9:BB59" ca="1" si="92">AB9*AT9</f>
        <v>0</v>
      </c>
      <c r="BC9" s="427">
        <f t="shared" ref="BC9:BC59" ca="1" si="93">AC9*AU9</f>
        <v>0.4</v>
      </c>
      <c r="BD9" s="427">
        <f t="shared" ref="BD9:BD59" ca="1" si="94">AD9*AV9</f>
        <v>0</v>
      </c>
      <c r="BE9" s="427">
        <f t="shared" ref="BE9:BE59" ca="1" si="95">AE9*AW9</f>
        <v>0</v>
      </c>
      <c r="BF9" s="427">
        <f t="shared" ref="BF9:BF59" ca="1" si="96">AF9*AX9</f>
        <v>0</v>
      </c>
      <c r="BG9" s="427">
        <f t="shared" ref="BG9:BG59" ca="1" si="97">AG9*AY9</f>
        <v>0</v>
      </c>
      <c r="BH9" s="434"/>
      <c r="BI9" s="427">
        <f t="shared" si="90"/>
        <v>0</v>
      </c>
      <c r="BJ9" s="427">
        <f t="shared" ref="BJ9:BJ59" si="98">IF($H9&gt;0,AJ9*AT9,0)</f>
        <v>0</v>
      </c>
      <c r="BK9" s="427">
        <f t="shared" ref="BK9:BK59" si="99">IF($H9&gt;0,AK9*AU9,0)</f>
        <v>0</v>
      </c>
      <c r="BL9" s="427">
        <f t="shared" ref="BL9:BL59" si="100">IF($H9&gt;0,AL9*AV9,0)</f>
        <v>0</v>
      </c>
      <c r="BM9" s="427">
        <f t="shared" ref="BM9:BM59" si="101">IF($H9&gt;0,AM9*AW9,0)</f>
        <v>0</v>
      </c>
      <c r="BN9" s="427">
        <f t="shared" ref="BN9:BN59" si="102">IF($H9&gt;0,AN9*AX9,0)</f>
        <v>0</v>
      </c>
      <c r="BO9" s="427">
        <f t="shared" ref="BO9:BO59" si="103">IF($H9&gt;0,AO9*AY9,0)</f>
        <v>0</v>
      </c>
      <c r="BP9" s="428">
        <f t="shared" si="72"/>
        <v>67</v>
      </c>
      <c r="BQ9" s="327">
        <f t="shared" ca="1" si="91"/>
        <v>0.15531628032308009</v>
      </c>
      <c r="BR9" s="327">
        <f t="shared" ca="1" si="73"/>
        <v>0</v>
      </c>
      <c r="BS9" s="327">
        <f t="shared" ca="1" si="74"/>
        <v>3.3333333333333333E-2</v>
      </c>
      <c r="BT9" s="327">
        <f t="shared" ca="1" si="75"/>
        <v>0</v>
      </c>
      <c r="BU9" s="327">
        <f t="shared" ca="1" si="76"/>
        <v>0</v>
      </c>
      <c r="BV9" s="327">
        <f t="shared" ca="1" si="77"/>
        <v>0</v>
      </c>
      <c r="BW9" s="327">
        <f t="shared" ca="1" si="78"/>
        <v>0</v>
      </c>
      <c r="BY9" s="323" t="str">
        <f t="shared" si="79"/>
        <v>heating</v>
      </c>
      <c r="BZ9" s="323">
        <f t="shared" ca="1" si="33"/>
        <v>54</v>
      </c>
      <c r="CA9" s="323">
        <f t="shared" ca="1" si="34"/>
        <v>3</v>
      </c>
      <c r="CB9" s="323">
        <f t="shared" ca="1" si="35"/>
        <v>0</v>
      </c>
      <c r="CC9" s="323">
        <f t="shared" ca="1" si="36"/>
        <v>3</v>
      </c>
      <c r="CD9" s="323">
        <f t="shared" ca="1" si="37"/>
        <v>0</v>
      </c>
      <c r="CE9" s="323">
        <f t="shared" ca="1" si="38"/>
        <v>0</v>
      </c>
      <c r="CF9" s="323">
        <f t="shared" ca="1" si="39"/>
        <v>0</v>
      </c>
      <c r="CG9" s="323">
        <f t="shared" ca="1" si="40"/>
        <v>0</v>
      </c>
      <c r="CI9" s="327">
        <f t="shared" ca="1" si="80"/>
        <v>0.93189768193848055</v>
      </c>
      <c r="CJ9" s="327">
        <f t="shared" ca="1" si="81"/>
        <v>0</v>
      </c>
      <c r="CK9" s="327">
        <f t="shared" ca="1" si="82"/>
        <v>0.4</v>
      </c>
      <c r="CL9" s="327">
        <f t="shared" ca="1" si="83"/>
        <v>0</v>
      </c>
      <c r="CM9" s="327">
        <f t="shared" ca="1" si="84"/>
        <v>0</v>
      </c>
      <c r="CN9" s="327">
        <f t="shared" ca="1" si="85"/>
        <v>0</v>
      </c>
      <c r="CO9" s="327">
        <f t="shared" ca="1" si="86"/>
        <v>0</v>
      </c>
      <c r="CP9" s="328">
        <f t="shared" si="87"/>
        <v>67</v>
      </c>
      <c r="CQ9" s="327">
        <f t="shared" ca="1" si="47"/>
        <v>0.15531628032308009</v>
      </c>
      <c r="CR9" s="327">
        <f t="shared" ca="1" si="48"/>
        <v>0</v>
      </c>
      <c r="CS9" s="327">
        <f t="shared" ca="1" si="49"/>
        <v>3.3333333333333333E-2</v>
      </c>
      <c r="CT9" s="327">
        <f t="shared" ca="1" si="50"/>
        <v>0</v>
      </c>
      <c r="CU9" s="327">
        <f t="shared" ca="1" si="51"/>
        <v>0</v>
      </c>
      <c r="CV9" s="327">
        <f t="shared" ca="1" si="52"/>
        <v>0</v>
      </c>
      <c r="CW9" s="327">
        <f t="shared" ca="1" si="53"/>
        <v>0</v>
      </c>
      <c r="CY9" s="332"/>
      <c r="CZ9" s="332"/>
      <c r="DA9" s="332"/>
      <c r="DB9" s="332"/>
      <c r="DC9" s="332"/>
      <c r="DD9" s="332"/>
      <c r="DE9" s="332"/>
      <c r="DF9" s="417"/>
      <c r="DG9" s="417"/>
    </row>
    <row r="10" spans="1:111" s="329" customFormat="1" ht="29" x14ac:dyDescent="0.35">
      <c r="A10" s="296" t="s">
        <v>21</v>
      </c>
      <c r="B10" s="11" t="s">
        <v>62</v>
      </c>
      <c r="C10" s="11" t="s">
        <v>23</v>
      </c>
      <c r="D10" s="11" t="s">
        <v>63</v>
      </c>
      <c r="E10" s="411">
        <v>2</v>
      </c>
      <c r="F10" s="412">
        <v>1</v>
      </c>
      <c r="G10" s="411">
        <v>0</v>
      </c>
      <c r="H10" s="406">
        <f t="shared" si="88"/>
        <v>0</v>
      </c>
      <c r="I10" s="415" t="str">
        <f ca="1">IF(AND(O10=1,OR(E10="",E10&lt;0,E10&gt;W10,AND(H10&gt;0,OR(G10="",G10&lt;0,G10&gt;W10)),F10&gt;1,F10&lt;0)),_general!$A$83,"")</f>
        <v/>
      </c>
      <c r="J10" s="110" t="s">
        <v>25</v>
      </c>
      <c r="K10" s="110" t="s">
        <v>64</v>
      </c>
      <c r="L10" s="110" t="s">
        <v>65</v>
      </c>
      <c r="M10" s="110" t="s">
        <v>66</v>
      </c>
      <c r="N10" s="110"/>
      <c r="O10" s="48">
        <f ca="1">IF(INDIRECT(ADDRESS(VLOOKUP(INDIRECT(ADDRESS(ROW(),25)),_general!$A$85:$B$92,2,),7,,,"Building Information"))="yes",1,0)</f>
        <v>1</v>
      </c>
      <c r="P10" s="111"/>
      <c r="Q10" s="111"/>
      <c r="R10" s="142" t="s">
        <v>978</v>
      </c>
      <c r="S10" s="142">
        <f>IF(OR('Building Information'!$G$44="yes",AND('Building Information'!$G$44="no",'Building Information'!$I$44=_general!$J$3)),1,0)</f>
        <v>1</v>
      </c>
      <c r="T10" s="142">
        <f t="shared" ca="1" si="24"/>
        <v>1</v>
      </c>
      <c r="U10" s="323">
        <f t="shared" ca="1" si="25"/>
        <v>2</v>
      </c>
      <c r="V10" s="323">
        <f t="shared" ca="1" si="54"/>
        <v>0</v>
      </c>
      <c r="W10" s="323">
        <f t="shared" si="26"/>
        <v>3</v>
      </c>
      <c r="X10" s="323">
        <f t="shared" ca="1" si="55"/>
        <v>3</v>
      </c>
      <c r="Y10" s="323" t="str">
        <f>VLOOKUP($B10,overview_of_services!$B$2:$T$123,$Y$2,FALSE)</f>
        <v>heating</v>
      </c>
      <c r="Z10" s="323">
        <f t="shared" ca="1" si="56"/>
        <v>66</v>
      </c>
      <c r="AA10" s="323">
        <f t="shared" ca="1" si="27"/>
        <v>2</v>
      </c>
      <c r="AB10" s="323">
        <f t="shared" ca="1" si="27"/>
        <v>0</v>
      </c>
      <c r="AC10" s="323">
        <f t="shared" ca="1" si="27"/>
        <v>2</v>
      </c>
      <c r="AD10" s="323">
        <f t="shared" ca="1" si="27"/>
        <v>2</v>
      </c>
      <c r="AE10" s="323">
        <f t="shared" ca="1" si="27"/>
        <v>0</v>
      </c>
      <c r="AF10" s="323">
        <f t="shared" ca="1" si="27"/>
        <v>0</v>
      </c>
      <c r="AG10" s="323">
        <f t="shared" ca="1" si="27"/>
        <v>0</v>
      </c>
      <c r="AH10" s="323">
        <f t="shared" ca="1" si="57"/>
        <v>64</v>
      </c>
      <c r="AI10" s="323">
        <f t="shared" ca="1" si="58"/>
        <v>0</v>
      </c>
      <c r="AJ10" s="323">
        <f t="shared" ca="1" si="58"/>
        <v>0</v>
      </c>
      <c r="AK10" s="323">
        <f t="shared" ca="1" si="28"/>
        <v>0</v>
      </c>
      <c r="AL10" s="323">
        <f t="shared" ca="1" si="28"/>
        <v>0</v>
      </c>
      <c r="AM10" s="323">
        <f t="shared" ca="1" si="28"/>
        <v>0</v>
      </c>
      <c r="AN10" s="323">
        <f t="shared" ca="1" si="28"/>
        <v>0</v>
      </c>
      <c r="AO10" s="323">
        <f t="shared" ca="1" si="28"/>
        <v>0</v>
      </c>
      <c r="AP10" s="324"/>
      <c r="AQ10" s="324" t="s">
        <v>973</v>
      </c>
      <c r="AR10" s="325">
        <f>VLOOKUP(Y10,_general!$A$65:$B$73,2,FALSE)+$AR$4</f>
        <v>54</v>
      </c>
      <c r="AS10" s="326">
        <f t="shared" ca="1" si="59"/>
        <v>0.31063256064616018</v>
      </c>
      <c r="AT10" s="326">
        <f t="shared" ca="1" si="29"/>
        <v>0.28992372326974952</v>
      </c>
      <c r="AU10" s="326">
        <f t="shared" ca="1" si="29"/>
        <v>0.13333333333333333</v>
      </c>
      <c r="AV10" s="326">
        <f t="shared" ca="1" si="29"/>
        <v>0.1</v>
      </c>
      <c r="AW10" s="326">
        <f t="shared" ca="1" si="29"/>
        <v>0</v>
      </c>
      <c r="AX10" s="326">
        <f t="shared" ca="1" si="29"/>
        <v>0.31063256064616018</v>
      </c>
      <c r="AY10" s="326">
        <f t="shared" ca="1" si="29"/>
        <v>0.1142857142857143</v>
      </c>
      <c r="AZ10" s="429"/>
      <c r="BA10" s="427">
        <f t="shared" ca="1" si="89"/>
        <v>0.62126512129232037</v>
      </c>
      <c r="BB10" s="427">
        <f t="shared" ca="1" si="92"/>
        <v>0</v>
      </c>
      <c r="BC10" s="427">
        <f t="shared" ca="1" si="93"/>
        <v>0.26666666666666666</v>
      </c>
      <c r="BD10" s="427">
        <f t="shared" ca="1" si="94"/>
        <v>0.2</v>
      </c>
      <c r="BE10" s="427">
        <f t="shared" ca="1" si="95"/>
        <v>0</v>
      </c>
      <c r="BF10" s="427">
        <f t="shared" ca="1" si="96"/>
        <v>0</v>
      </c>
      <c r="BG10" s="427">
        <f t="shared" ca="1" si="97"/>
        <v>0</v>
      </c>
      <c r="BH10" s="434"/>
      <c r="BI10" s="427">
        <f t="shared" si="90"/>
        <v>0</v>
      </c>
      <c r="BJ10" s="427">
        <f t="shared" si="98"/>
        <v>0</v>
      </c>
      <c r="BK10" s="427">
        <f t="shared" si="99"/>
        <v>0</v>
      </c>
      <c r="BL10" s="427">
        <f t="shared" si="100"/>
        <v>0</v>
      </c>
      <c r="BM10" s="427">
        <f t="shared" si="101"/>
        <v>0</v>
      </c>
      <c r="BN10" s="427">
        <f t="shared" si="102"/>
        <v>0</v>
      </c>
      <c r="BO10" s="427">
        <f t="shared" si="103"/>
        <v>0</v>
      </c>
      <c r="BP10" s="428">
        <f t="shared" si="72"/>
        <v>67</v>
      </c>
      <c r="BQ10" s="327">
        <f t="shared" ca="1" si="91"/>
        <v>0.10354418688205339</v>
      </c>
      <c r="BR10" s="327">
        <f t="shared" ca="1" si="73"/>
        <v>0</v>
      </c>
      <c r="BS10" s="327">
        <f t="shared" ca="1" si="74"/>
        <v>2.222222222222222E-2</v>
      </c>
      <c r="BT10" s="327">
        <f t="shared" ca="1" si="75"/>
        <v>1.6666666666666666E-2</v>
      </c>
      <c r="BU10" s="327">
        <f t="shared" ca="1" si="76"/>
        <v>0</v>
      </c>
      <c r="BV10" s="327">
        <f t="shared" ca="1" si="77"/>
        <v>0</v>
      </c>
      <c r="BW10" s="327">
        <f t="shared" ca="1" si="78"/>
        <v>0</v>
      </c>
      <c r="BY10" s="323" t="str">
        <f t="shared" si="79"/>
        <v>heating</v>
      </c>
      <c r="BZ10" s="323">
        <f t="shared" ca="1" si="33"/>
        <v>67</v>
      </c>
      <c r="CA10" s="323">
        <f t="shared" ca="1" si="34"/>
        <v>3</v>
      </c>
      <c r="CB10" s="323">
        <f t="shared" ca="1" si="35"/>
        <v>0</v>
      </c>
      <c r="CC10" s="323">
        <f t="shared" ca="1" si="36"/>
        <v>3</v>
      </c>
      <c r="CD10" s="323">
        <f t="shared" ca="1" si="37"/>
        <v>3</v>
      </c>
      <c r="CE10" s="323">
        <f t="shared" ca="1" si="38"/>
        <v>0</v>
      </c>
      <c r="CF10" s="323">
        <f t="shared" ca="1" si="39"/>
        <v>0</v>
      </c>
      <c r="CG10" s="323">
        <f t="shared" ca="1" si="40"/>
        <v>0</v>
      </c>
      <c r="CI10" s="327">
        <f t="shared" ca="1" si="80"/>
        <v>0.93189768193848055</v>
      </c>
      <c r="CJ10" s="327">
        <f t="shared" ca="1" si="81"/>
        <v>0</v>
      </c>
      <c r="CK10" s="327">
        <f t="shared" ca="1" si="82"/>
        <v>0.4</v>
      </c>
      <c r="CL10" s="327">
        <f t="shared" ca="1" si="83"/>
        <v>0.30000000000000004</v>
      </c>
      <c r="CM10" s="327">
        <f t="shared" ca="1" si="84"/>
        <v>0</v>
      </c>
      <c r="CN10" s="327">
        <f t="shared" ca="1" si="85"/>
        <v>0</v>
      </c>
      <c r="CO10" s="327">
        <f t="shared" ca="1" si="86"/>
        <v>0</v>
      </c>
      <c r="CP10" s="328">
        <f t="shared" si="87"/>
        <v>67</v>
      </c>
      <c r="CQ10" s="327">
        <f t="shared" ca="1" si="47"/>
        <v>0.15531628032308009</v>
      </c>
      <c r="CR10" s="327">
        <f t="shared" ca="1" si="48"/>
        <v>0</v>
      </c>
      <c r="CS10" s="327">
        <f t="shared" ca="1" si="49"/>
        <v>3.3333333333333333E-2</v>
      </c>
      <c r="CT10" s="327">
        <f t="shared" ca="1" si="50"/>
        <v>2.5000000000000001E-2</v>
      </c>
      <c r="CU10" s="327">
        <f t="shared" ca="1" si="51"/>
        <v>0</v>
      </c>
      <c r="CV10" s="327">
        <f t="shared" ca="1" si="52"/>
        <v>0</v>
      </c>
      <c r="CW10" s="327">
        <f t="shared" ca="1" si="53"/>
        <v>0</v>
      </c>
      <c r="CY10" s="332"/>
      <c r="CZ10" s="332"/>
      <c r="DA10" s="332"/>
      <c r="DB10" s="332"/>
      <c r="DC10" s="332"/>
      <c r="DD10" s="332"/>
      <c r="DE10" s="332"/>
      <c r="DF10" s="417"/>
      <c r="DG10" s="417"/>
    </row>
    <row r="11" spans="1:111" s="330" customFormat="1" ht="27" customHeight="1" x14ac:dyDescent="0.35">
      <c r="A11" s="295" t="s">
        <v>21</v>
      </c>
      <c r="B11" s="11" t="s">
        <v>69</v>
      </c>
      <c r="C11" s="11" t="s">
        <v>23</v>
      </c>
      <c r="D11" s="11" t="s">
        <v>70</v>
      </c>
      <c r="E11" s="411">
        <v>0</v>
      </c>
      <c r="F11" s="412">
        <v>1</v>
      </c>
      <c r="G11" s="411">
        <v>0</v>
      </c>
      <c r="H11" s="406">
        <f t="shared" si="88"/>
        <v>0</v>
      </c>
      <c r="I11" s="415" t="str">
        <f ca="1">IF(AND(O11=1,OR(E11="",E11&lt;0,E11&gt;W11,AND(H11&gt;0,OR(G11="",G11&lt;0,G11&gt;W11)),F11&gt;1,F11&lt;0)),_general!$A$83,"")</f>
        <v/>
      </c>
      <c r="J11" s="110" t="s">
        <v>71</v>
      </c>
      <c r="K11" s="110" t="s">
        <v>72</v>
      </c>
      <c r="L11" s="110" t="s">
        <v>73</v>
      </c>
      <c r="M11" s="110"/>
      <c r="N11" s="110"/>
      <c r="O11" s="48">
        <f ca="1">IF(AND(INDIRECT(ADDRESS(VLOOKUP(INDIRECT(ADDRESS(ROW(),25)),_general!$A$85:$B$92,2,),7,,,"Building Information"))="yes",'Building Information'!G60=_general!I18),1,0)</f>
        <v>1</v>
      </c>
      <c r="P11" s="111"/>
      <c r="Q11" s="111"/>
      <c r="R11" s="142" t="s">
        <v>863</v>
      </c>
      <c r="S11" s="142">
        <f>IF(OR('Building Information'!$G$44="yes",AND('Building Information'!$G$44="no",'Building Information'!$I$44=_general!$J$3)),1,0)</f>
        <v>1</v>
      </c>
      <c r="T11" s="142">
        <f t="shared" ca="1" si="24"/>
        <v>1</v>
      </c>
      <c r="U11" s="323">
        <f t="shared" ca="1" si="25"/>
        <v>0</v>
      </c>
      <c r="V11" s="323">
        <f t="shared" ca="1" si="54"/>
        <v>0</v>
      </c>
      <c r="W11" s="323">
        <f t="shared" si="26"/>
        <v>2</v>
      </c>
      <c r="X11" s="323">
        <f t="shared" ca="1" si="55"/>
        <v>2</v>
      </c>
      <c r="Y11" s="323" t="str">
        <f>VLOOKUP($B11,overview_of_services!$B$2:$T$123,$Y$2,FALSE)</f>
        <v>heating</v>
      </c>
      <c r="Z11" s="323">
        <f t="shared" ca="1" si="56"/>
        <v>78</v>
      </c>
      <c r="AA11" s="323">
        <f t="shared" ca="1" si="27"/>
        <v>0</v>
      </c>
      <c r="AB11" s="323">
        <f t="shared" ca="1" si="27"/>
        <v>0</v>
      </c>
      <c r="AC11" s="323">
        <f t="shared" ca="1" si="27"/>
        <v>0</v>
      </c>
      <c r="AD11" s="323">
        <f t="shared" ca="1" si="27"/>
        <v>0</v>
      </c>
      <c r="AE11" s="323">
        <f t="shared" ca="1" si="27"/>
        <v>0</v>
      </c>
      <c r="AF11" s="323">
        <f t="shared" ca="1" si="27"/>
        <v>0</v>
      </c>
      <c r="AG11" s="323">
        <f t="shared" ca="1" si="27"/>
        <v>0</v>
      </c>
      <c r="AH11" s="323">
        <f t="shared" ca="1" si="57"/>
        <v>78</v>
      </c>
      <c r="AI11" s="323">
        <f t="shared" ca="1" si="58"/>
        <v>0</v>
      </c>
      <c r="AJ11" s="323">
        <f t="shared" ca="1" si="58"/>
        <v>0</v>
      </c>
      <c r="AK11" s="323">
        <f t="shared" ca="1" si="28"/>
        <v>0</v>
      </c>
      <c r="AL11" s="323">
        <f t="shared" ca="1" si="28"/>
        <v>0</v>
      </c>
      <c r="AM11" s="323">
        <f t="shared" ca="1" si="28"/>
        <v>0</v>
      </c>
      <c r="AN11" s="323">
        <f t="shared" ca="1" si="28"/>
        <v>0</v>
      </c>
      <c r="AO11" s="323">
        <f t="shared" ca="1" si="28"/>
        <v>0</v>
      </c>
      <c r="AP11" s="324"/>
      <c r="AQ11" s="324" t="s">
        <v>973</v>
      </c>
      <c r="AR11" s="325">
        <f>VLOOKUP(Y11,_general!$A$65:$B$73,2,FALSE)+$AR$4</f>
        <v>54</v>
      </c>
      <c r="AS11" s="326">
        <f t="shared" ca="1" si="59"/>
        <v>0.31063256064616018</v>
      </c>
      <c r="AT11" s="326">
        <f t="shared" ca="1" si="29"/>
        <v>0.28992372326974952</v>
      </c>
      <c r="AU11" s="326">
        <f t="shared" ca="1" si="29"/>
        <v>0.13333333333333333</v>
      </c>
      <c r="AV11" s="326">
        <f t="shared" ca="1" si="29"/>
        <v>0.1</v>
      </c>
      <c r="AW11" s="326">
        <f t="shared" ca="1" si="29"/>
        <v>0</v>
      </c>
      <c r="AX11" s="326">
        <f t="shared" ca="1" si="29"/>
        <v>0.31063256064616018</v>
      </c>
      <c r="AY11" s="326">
        <f t="shared" ca="1" si="29"/>
        <v>0.1142857142857143</v>
      </c>
      <c r="AZ11" s="429"/>
      <c r="BA11" s="427">
        <f t="shared" ca="1" si="89"/>
        <v>0</v>
      </c>
      <c r="BB11" s="427">
        <f t="shared" ca="1" si="92"/>
        <v>0</v>
      </c>
      <c r="BC11" s="427">
        <f t="shared" ca="1" si="93"/>
        <v>0</v>
      </c>
      <c r="BD11" s="427">
        <f t="shared" ca="1" si="94"/>
        <v>0</v>
      </c>
      <c r="BE11" s="427">
        <f t="shared" ca="1" si="95"/>
        <v>0</v>
      </c>
      <c r="BF11" s="427">
        <f t="shared" ca="1" si="96"/>
        <v>0</v>
      </c>
      <c r="BG11" s="427">
        <f t="shared" ca="1" si="97"/>
        <v>0</v>
      </c>
      <c r="BH11" s="434"/>
      <c r="BI11" s="427">
        <f t="shared" si="90"/>
        <v>0</v>
      </c>
      <c r="BJ11" s="427">
        <f t="shared" si="98"/>
        <v>0</v>
      </c>
      <c r="BK11" s="427">
        <f t="shared" si="99"/>
        <v>0</v>
      </c>
      <c r="BL11" s="427">
        <f t="shared" si="100"/>
        <v>0</v>
      </c>
      <c r="BM11" s="427">
        <f t="shared" si="101"/>
        <v>0</v>
      </c>
      <c r="BN11" s="427">
        <f t="shared" si="102"/>
        <v>0</v>
      </c>
      <c r="BO11" s="427">
        <f t="shared" si="103"/>
        <v>0</v>
      </c>
      <c r="BP11" s="428">
        <f t="shared" si="72"/>
        <v>67</v>
      </c>
      <c r="BQ11" s="327">
        <f t="shared" ca="1" si="91"/>
        <v>0</v>
      </c>
      <c r="BR11" s="327">
        <f t="shared" ca="1" si="73"/>
        <v>0</v>
      </c>
      <c r="BS11" s="327">
        <f t="shared" ca="1" si="74"/>
        <v>0</v>
      </c>
      <c r="BT11" s="327">
        <f t="shared" ca="1" si="75"/>
        <v>0</v>
      </c>
      <c r="BU11" s="327">
        <f t="shared" ca="1" si="76"/>
        <v>0</v>
      </c>
      <c r="BV11" s="327">
        <f t="shared" ca="1" si="77"/>
        <v>0</v>
      </c>
      <c r="BW11" s="327">
        <f t="shared" ca="1" si="78"/>
        <v>0</v>
      </c>
      <c r="BX11" s="329"/>
      <c r="BY11" s="323" t="str">
        <f t="shared" si="79"/>
        <v>heating</v>
      </c>
      <c r="BZ11" s="323">
        <f t="shared" ca="1" si="33"/>
        <v>80</v>
      </c>
      <c r="CA11" s="323">
        <f t="shared" ca="1" si="34"/>
        <v>2</v>
      </c>
      <c r="CB11" s="323">
        <f t="shared" ca="1" si="35"/>
        <v>0</v>
      </c>
      <c r="CC11" s="323">
        <f t="shared" ca="1" si="36"/>
        <v>1</v>
      </c>
      <c r="CD11" s="323">
        <f t="shared" ca="1" si="37"/>
        <v>0</v>
      </c>
      <c r="CE11" s="323">
        <f t="shared" ca="1" si="38"/>
        <v>0</v>
      </c>
      <c r="CF11" s="323">
        <f t="shared" ca="1" si="39"/>
        <v>0</v>
      </c>
      <c r="CG11" s="323">
        <f t="shared" ca="1" si="40"/>
        <v>0</v>
      </c>
      <c r="CI11" s="327">
        <f t="shared" ca="1" si="80"/>
        <v>0.62126512129232037</v>
      </c>
      <c r="CJ11" s="327">
        <f t="shared" ca="1" si="81"/>
        <v>0</v>
      </c>
      <c r="CK11" s="327">
        <f t="shared" ca="1" si="82"/>
        <v>0.13333333333333333</v>
      </c>
      <c r="CL11" s="327">
        <f t="shared" ca="1" si="83"/>
        <v>0</v>
      </c>
      <c r="CM11" s="327">
        <f t="shared" ca="1" si="84"/>
        <v>0</v>
      </c>
      <c r="CN11" s="327">
        <f t="shared" ca="1" si="85"/>
        <v>0</v>
      </c>
      <c r="CO11" s="327">
        <f t="shared" ca="1" si="86"/>
        <v>0</v>
      </c>
      <c r="CP11" s="328">
        <f t="shared" si="87"/>
        <v>67</v>
      </c>
      <c r="CQ11" s="327">
        <f t="shared" ca="1" si="47"/>
        <v>0.10354418688205339</v>
      </c>
      <c r="CR11" s="327">
        <f t="shared" ca="1" si="48"/>
        <v>0</v>
      </c>
      <c r="CS11" s="327">
        <f t="shared" ca="1" si="49"/>
        <v>1.111111111111111E-2</v>
      </c>
      <c r="CT11" s="327">
        <f t="shared" ca="1" si="50"/>
        <v>0</v>
      </c>
      <c r="CU11" s="327">
        <f t="shared" ca="1" si="51"/>
        <v>0</v>
      </c>
      <c r="CV11" s="327">
        <f t="shared" ca="1" si="52"/>
        <v>0</v>
      </c>
      <c r="CW11" s="327">
        <f t="shared" ca="1" si="53"/>
        <v>0</v>
      </c>
      <c r="CY11" s="331"/>
      <c r="CZ11" s="331"/>
      <c r="DA11" s="331"/>
      <c r="DB11" s="331"/>
      <c r="DC11" s="331"/>
      <c r="DD11" s="331"/>
      <c r="DE11" s="331"/>
      <c r="DF11" s="417"/>
      <c r="DG11" s="417"/>
    </row>
    <row r="12" spans="1:111" s="329" customFormat="1" ht="29" x14ac:dyDescent="0.35">
      <c r="A12" s="296" t="s">
        <v>21</v>
      </c>
      <c r="B12" s="11" t="s">
        <v>76</v>
      </c>
      <c r="C12" s="11" t="s">
        <v>23</v>
      </c>
      <c r="D12" s="11" t="s">
        <v>77</v>
      </c>
      <c r="E12" s="411">
        <v>1</v>
      </c>
      <c r="F12" s="412">
        <v>1</v>
      </c>
      <c r="G12" s="411">
        <v>0</v>
      </c>
      <c r="H12" s="406">
        <f t="shared" si="88"/>
        <v>0</v>
      </c>
      <c r="I12" s="415" t="str">
        <f ca="1">IF(AND(O12=1,OR(E12="",E12&lt;0,E12&gt;W12,AND(H12&gt;0,OR(G12="",G12&lt;0,G12&gt;W12)),F12&gt;1,F12&lt;0)),_general!$A$83,"")</f>
        <v/>
      </c>
      <c r="J12" s="110" t="s">
        <v>25</v>
      </c>
      <c r="K12" s="110" t="s">
        <v>78</v>
      </c>
      <c r="L12" s="110" t="s">
        <v>79</v>
      </c>
      <c r="M12" s="110"/>
      <c r="N12" s="110"/>
      <c r="O12" s="48">
        <f ca="1">IF(INDIRECT(ADDRESS(VLOOKUP(INDIRECT(ADDRESS(ROW(),25)),_general!$A$85:$B$92,2,),7,,,"Building Information"))="yes",1,0)</f>
        <v>1</v>
      </c>
      <c r="P12" s="111"/>
      <c r="Q12" s="111"/>
      <c r="R12" s="142" t="s">
        <v>978</v>
      </c>
      <c r="S12" s="142">
        <f>IF(OR('Building Information'!$G$44="yes",AND('Building Information'!$G$44="no",'Building Information'!$I$44=_general!$J$3)),1,0)</f>
        <v>1</v>
      </c>
      <c r="T12" s="142">
        <f t="shared" ca="1" si="24"/>
        <v>1</v>
      </c>
      <c r="U12" s="323">
        <f t="shared" ca="1" si="25"/>
        <v>1</v>
      </c>
      <c r="V12" s="323">
        <f t="shared" ca="1" si="54"/>
        <v>0</v>
      </c>
      <c r="W12" s="323">
        <f t="shared" si="26"/>
        <v>2</v>
      </c>
      <c r="X12" s="323">
        <f t="shared" ca="1" si="55"/>
        <v>2</v>
      </c>
      <c r="Y12" s="323" t="str">
        <f>VLOOKUP($B12,overview_of_services!$B$2:$T$123,$Y$2,FALSE)</f>
        <v>heating</v>
      </c>
      <c r="Z12" s="323">
        <f t="shared" ca="1" si="56"/>
        <v>93</v>
      </c>
      <c r="AA12" s="323">
        <f t="shared" ca="1" si="27"/>
        <v>1</v>
      </c>
      <c r="AB12" s="323">
        <f t="shared" ca="1" si="27"/>
        <v>0</v>
      </c>
      <c r="AC12" s="323">
        <f t="shared" ca="1" si="27"/>
        <v>1</v>
      </c>
      <c r="AD12" s="323">
        <f t="shared" ca="1" si="27"/>
        <v>1</v>
      </c>
      <c r="AE12" s="323">
        <f t="shared" ca="1" si="27"/>
        <v>0</v>
      </c>
      <c r="AF12" s="323">
        <f t="shared" ca="1" si="27"/>
        <v>0</v>
      </c>
      <c r="AG12" s="323">
        <f t="shared" ca="1" si="27"/>
        <v>1</v>
      </c>
      <c r="AH12" s="323">
        <f t="shared" ca="1" si="57"/>
        <v>92</v>
      </c>
      <c r="AI12" s="323">
        <f t="shared" ca="1" si="58"/>
        <v>0</v>
      </c>
      <c r="AJ12" s="323">
        <f t="shared" ca="1" si="58"/>
        <v>0</v>
      </c>
      <c r="AK12" s="323">
        <f t="shared" ca="1" si="28"/>
        <v>0</v>
      </c>
      <c r="AL12" s="323">
        <f t="shared" ca="1" si="28"/>
        <v>0</v>
      </c>
      <c r="AM12" s="323">
        <f t="shared" ca="1" si="28"/>
        <v>0</v>
      </c>
      <c r="AN12" s="323">
        <f t="shared" ca="1" si="28"/>
        <v>0</v>
      </c>
      <c r="AO12" s="323">
        <f t="shared" ca="1" si="28"/>
        <v>0</v>
      </c>
      <c r="AP12" s="324"/>
      <c r="AQ12" s="324" t="s">
        <v>973</v>
      </c>
      <c r="AR12" s="325">
        <f>VLOOKUP(Y12,_general!$A$65:$B$73,2,FALSE)+$AR$4</f>
        <v>54</v>
      </c>
      <c r="AS12" s="326">
        <f t="shared" ca="1" si="59"/>
        <v>0.31063256064616018</v>
      </c>
      <c r="AT12" s="326">
        <f t="shared" ca="1" si="29"/>
        <v>0.28992372326974952</v>
      </c>
      <c r="AU12" s="326">
        <f t="shared" ca="1" si="29"/>
        <v>0.13333333333333333</v>
      </c>
      <c r="AV12" s="326">
        <f t="shared" ca="1" si="29"/>
        <v>0.1</v>
      </c>
      <c r="AW12" s="326">
        <f t="shared" ca="1" si="29"/>
        <v>0</v>
      </c>
      <c r="AX12" s="326">
        <f t="shared" ca="1" si="29"/>
        <v>0.31063256064616018</v>
      </c>
      <c r="AY12" s="326">
        <f t="shared" ca="1" si="29"/>
        <v>0.1142857142857143</v>
      </c>
      <c r="AZ12" s="429"/>
      <c r="BA12" s="427">
        <f t="shared" ca="1" si="89"/>
        <v>0.31063256064616018</v>
      </c>
      <c r="BB12" s="427">
        <f t="shared" ca="1" si="92"/>
        <v>0</v>
      </c>
      <c r="BC12" s="427">
        <f t="shared" ca="1" si="93"/>
        <v>0.13333333333333333</v>
      </c>
      <c r="BD12" s="427">
        <f t="shared" ca="1" si="94"/>
        <v>0.1</v>
      </c>
      <c r="BE12" s="427">
        <f t="shared" ca="1" si="95"/>
        <v>0</v>
      </c>
      <c r="BF12" s="427">
        <f t="shared" ca="1" si="96"/>
        <v>0</v>
      </c>
      <c r="BG12" s="427">
        <f t="shared" ca="1" si="97"/>
        <v>0.1142857142857143</v>
      </c>
      <c r="BH12" s="434"/>
      <c r="BI12" s="427">
        <f t="shared" si="90"/>
        <v>0</v>
      </c>
      <c r="BJ12" s="427">
        <f t="shared" si="98"/>
        <v>0</v>
      </c>
      <c r="BK12" s="427">
        <f t="shared" si="99"/>
        <v>0</v>
      </c>
      <c r="BL12" s="427">
        <f t="shared" si="100"/>
        <v>0</v>
      </c>
      <c r="BM12" s="427">
        <f t="shared" si="101"/>
        <v>0</v>
      </c>
      <c r="BN12" s="427">
        <f t="shared" si="102"/>
        <v>0</v>
      </c>
      <c r="BO12" s="427">
        <f t="shared" si="103"/>
        <v>0</v>
      </c>
      <c r="BP12" s="428">
        <f t="shared" si="72"/>
        <v>67</v>
      </c>
      <c r="BQ12" s="327">
        <f t="shared" ca="1" si="91"/>
        <v>5.1772093441026693E-2</v>
      </c>
      <c r="BR12" s="327">
        <f t="shared" ca="1" si="73"/>
        <v>0</v>
      </c>
      <c r="BS12" s="327">
        <f t="shared" ca="1" si="74"/>
        <v>1.111111111111111E-2</v>
      </c>
      <c r="BT12" s="327">
        <f t="shared" ca="1" si="75"/>
        <v>8.3333333333333332E-3</v>
      </c>
      <c r="BU12" s="327">
        <f t="shared" ca="1" si="76"/>
        <v>0</v>
      </c>
      <c r="BV12" s="327">
        <f t="shared" ca="1" si="77"/>
        <v>0</v>
      </c>
      <c r="BW12" s="327">
        <f t="shared" ca="1" si="78"/>
        <v>9.5238095238095247E-3</v>
      </c>
      <c r="BY12" s="323" t="str">
        <f t="shared" si="79"/>
        <v>heating</v>
      </c>
      <c r="BZ12" s="323">
        <f t="shared" ca="1" si="33"/>
        <v>94</v>
      </c>
      <c r="CA12" s="323">
        <f t="shared" ca="1" si="34"/>
        <v>2</v>
      </c>
      <c r="CB12" s="323">
        <f t="shared" ca="1" si="35"/>
        <v>0</v>
      </c>
      <c r="CC12" s="323">
        <f t="shared" ca="1" si="36"/>
        <v>2</v>
      </c>
      <c r="CD12" s="323">
        <f t="shared" ca="1" si="37"/>
        <v>2</v>
      </c>
      <c r="CE12" s="323">
        <f t="shared" ca="1" si="38"/>
        <v>0</v>
      </c>
      <c r="CF12" s="323">
        <f t="shared" ca="1" si="39"/>
        <v>0</v>
      </c>
      <c r="CG12" s="323">
        <f t="shared" ca="1" si="40"/>
        <v>1</v>
      </c>
      <c r="CI12" s="327">
        <f t="shared" ca="1" si="80"/>
        <v>0.62126512129232037</v>
      </c>
      <c r="CJ12" s="327">
        <f t="shared" ca="1" si="81"/>
        <v>0</v>
      </c>
      <c r="CK12" s="327">
        <f t="shared" ca="1" si="82"/>
        <v>0.26666666666666666</v>
      </c>
      <c r="CL12" s="327">
        <f t="shared" ca="1" si="83"/>
        <v>0.2</v>
      </c>
      <c r="CM12" s="327">
        <f t="shared" ca="1" si="84"/>
        <v>0</v>
      </c>
      <c r="CN12" s="327">
        <f t="shared" ca="1" si="85"/>
        <v>0</v>
      </c>
      <c r="CO12" s="327">
        <f t="shared" ca="1" si="86"/>
        <v>0.1142857142857143</v>
      </c>
      <c r="CP12" s="328">
        <f t="shared" si="87"/>
        <v>67</v>
      </c>
      <c r="CQ12" s="327">
        <f t="shared" ca="1" si="47"/>
        <v>0.10354418688205339</v>
      </c>
      <c r="CR12" s="327">
        <f t="shared" ca="1" si="48"/>
        <v>0</v>
      </c>
      <c r="CS12" s="327">
        <f t="shared" ca="1" si="49"/>
        <v>2.222222222222222E-2</v>
      </c>
      <c r="CT12" s="327">
        <f t="shared" ca="1" si="50"/>
        <v>1.6666666666666666E-2</v>
      </c>
      <c r="CU12" s="327">
        <f t="shared" ca="1" si="51"/>
        <v>0</v>
      </c>
      <c r="CV12" s="327">
        <f t="shared" ca="1" si="52"/>
        <v>0</v>
      </c>
      <c r="CW12" s="327">
        <f t="shared" ca="1" si="53"/>
        <v>9.5238095238095247E-3</v>
      </c>
      <c r="CY12" s="332"/>
      <c r="CZ12" s="332"/>
      <c r="DA12" s="332"/>
      <c r="DB12" s="332"/>
      <c r="DC12" s="332"/>
      <c r="DD12" s="332"/>
      <c r="DE12" s="332"/>
      <c r="DF12" s="417"/>
      <c r="DG12" s="417"/>
    </row>
    <row r="13" spans="1:111" s="329" customFormat="1" ht="58" x14ac:dyDescent="0.35">
      <c r="A13" s="296" t="s">
        <v>21</v>
      </c>
      <c r="B13" s="11" t="s">
        <v>84</v>
      </c>
      <c r="C13" s="11" t="s">
        <v>85</v>
      </c>
      <c r="D13" s="11" t="s">
        <v>1110</v>
      </c>
      <c r="E13" s="411"/>
      <c r="F13" s="412">
        <v>1</v>
      </c>
      <c r="G13" s="411">
        <v>0</v>
      </c>
      <c r="H13" s="406">
        <f t="shared" si="88"/>
        <v>0</v>
      </c>
      <c r="I13" s="415" t="str">
        <f ca="1">IF(AND(O13=1,OR(E13="",E13&lt;0,E13&gt;W13,AND(H13&gt;0,OR(G13="",G13&lt;0,G13&gt;W13)),F13&gt;1,F13&lt;0)),_general!$A$83,"")</f>
        <v/>
      </c>
      <c r="J13" s="110" t="s">
        <v>86</v>
      </c>
      <c r="K13" s="110" t="s">
        <v>87</v>
      </c>
      <c r="L13" s="110" t="s">
        <v>88</v>
      </c>
      <c r="M13" s="110"/>
      <c r="N13" s="110"/>
      <c r="O13" s="48">
        <f ca="1">IF(AND(INDIRECT(ADDRESS(VLOOKUP(INDIRECT(ADDRESS(ROW(),25)),_general!$A$85:$B$92,2,),7,,,"Building Information"))="yes",OR('Building Information'!G59=_general!I12,'Building Information'!G59=_general!I14)),1,0)</f>
        <v>0</v>
      </c>
      <c r="P13" s="111"/>
      <c r="Q13" s="111"/>
      <c r="R13" s="142" t="s">
        <v>863</v>
      </c>
      <c r="S13" s="142">
        <f>IF(OR('Building Information'!$G$44="yes",AND('Building Information'!$G$44="no",'Building Information'!$I$44=_general!$J$3)),1,0)</f>
        <v>1</v>
      </c>
      <c r="T13" s="142">
        <f t="shared" ca="1" si="24"/>
        <v>0</v>
      </c>
      <c r="U13" s="323">
        <f t="shared" ca="1" si="25"/>
        <v>0</v>
      </c>
      <c r="V13" s="323">
        <f t="shared" ca="1" si="54"/>
        <v>0</v>
      </c>
      <c r="W13" s="323">
        <f t="shared" si="26"/>
        <v>2</v>
      </c>
      <c r="X13" s="323">
        <f t="shared" ca="1" si="55"/>
        <v>0</v>
      </c>
      <c r="Y13" s="323" t="str">
        <f>VLOOKUP($B13,overview_of_services!$B$2:$T$123,$Y$2,FALSE)</f>
        <v>heating</v>
      </c>
      <c r="Z13" s="323">
        <f t="shared" ca="1" si="56"/>
        <v>106</v>
      </c>
      <c r="AA13" s="323">
        <f t="shared" ca="1" si="27"/>
        <v>0</v>
      </c>
      <c r="AB13" s="323">
        <f t="shared" ca="1" si="27"/>
        <v>0</v>
      </c>
      <c r="AC13" s="323">
        <f t="shared" ca="1" si="27"/>
        <v>0</v>
      </c>
      <c r="AD13" s="323">
        <f t="shared" ca="1" si="27"/>
        <v>0</v>
      </c>
      <c r="AE13" s="323">
        <f t="shared" ca="1" si="27"/>
        <v>0</v>
      </c>
      <c r="AF13" s="323">
        <f t="shared" ca="1" si="27"/>
        <v>0</v>
      </c>
      <c r="AG13" s="323">
        <f t="shared" ca="1" si="27"/>
        <v>0</v>
      </c>
      <c r="AH13" s="323">
        <f t="shared" ca="1" si="57"/>
        <v>106</v>
      </c>
      <c r="AI13" s="323">
        <f t="shared" ca="1" si="58"/>
        <v>0</v>
      </c>
      <c r="AJ13" s="323">
        <f t="shared" ca="1" si="58"/>
        <v>0</v>
      </c>
      <c r="AK13" s="323">
        <f t="shared" ca="1" si="28"/>
        <v>0</v>
      </c>
      <c r="AL13" s="323">
        <f t="shared" ca="1" si="28"/>
        <v>0</v>
      </c>
      <c r="AM13" s="323">
        <f t="shared" ca="1" si="28"/>
        <v>0</v>
      </c>
      <c r="AN13" s="323">
        <f t="shared" ca="1" si="28"/>
        <v>0</v>
      </c>
      <c r="AO13" s="323">
        <f t="shared" ca="1" si="28"/>
        <v>0</v>
      </c>
      <c r="AP13" s="324"/>
      <c r="AQ13" s="324" t="s">
        <v>973</v>
      </c>
      <c r="AR13" s="325">
        <f>VLOOKUP(Y13,_general!$A$65:$B$73,2,FALSE)+$AR$4</f>
        <v>54</v>
      </c>
      <c r="AS13" s="326">
        <f t="shared" ca="1" si="59"/>
        <v>0.31063256064616018</v>
      </c>
      <c r="AT13" s="326">
        <f t="shared" ca="1" si="29"/>
        <v>0.28992372326974952</v>
      </c>
      <c r="AU13" s="326">
        <f t="shared" ca="1" si="29"/>
        <v>0.13333333333333333</v>
      </c>
      <c r="AV13" s="326">
        <f t="shared" ca="1" si="29"/>
        <v>0.1</v>
      </c>
      <c r="AW13" s="326">
        <f t="shared" ca="1" si="29"/>
        <v>0</v>
      </c>
      <c r="AX13" s="326">
        <f t="shared" ca="1" si="29"/>
        <v>0.31063256064616018</v>
      </c>
      <c r="AY13" s="326">
        <f t="shared" ca="1" si="29"/>
        <v>0.1142857142857143</v>
      </c>
      <c r="AZ13" s="429"/>
      <c r="BA13" s="427">
        <f t="shared" ca="1" si="89"/>
        <v>0</v>
      </c>
      <c r="BB13" s="427">
        <f t="shared" ca="1" si="92"/>
        <v>0</v>
      </c>
      <c r="BC13" s="427">
        <f t="shared" ca="1" si="93"/>
        <v>0</v>
      </c>
      <c r="BD13" s="427">
        <f t="shared" ca="1" si="94"/>
        <v>0</v>
      </c>
      <c r="BE13" s="427">
        <f t="shared" ca="1" si="95"/>
        <v>0</v>
      </c>
      <c r="BF13" s="427">
        <f t="shared" ca="1" si="96"/>
        <v>0</v>
      </c>
      <c r="BG13" s="427">
        <f t="shared" ca="1" si="97"/>
        <v>0</v>
      </c>
      <c r="BH13" s="434"/>
      <c r="BI13" s="427">
        <f t="shared" si="90"/>
        <v>0</v>
      </c>
      <c r="BJ13" s="427">
        <f t="shared" si="98"/>
        <v>0</v>
      </c>
      <c r="BK13" s="427">
        <f t="shared" si="99"/>
        <v>0</v>
      </c>
      <c r="BL13" s="427">
        <f t="shared" si="100"/>
        <v>0</v>
      </c>
      <c r="BM13" s="427">
        <f t="shared" si="101"/>
        <v>0</v>
      </c>
      <c r="BN13" s="427">
        <f t="shared" si="102"/>
        <v>0</v>
      </c>
      <c r="BO13" s="427">
        <f t="shared" si="103"/>
        <v>0</v>
      </c>
      <c r="BP13" s="428">
        <f t="shared" si="72"/>
        <v>67</v>
      </c>
      <c r="BQ13" s="327">
        <f t="shared" ca="1" si="91"/>
        <v>0</v>
      </c>
      <c r="BR13" s="327">
        <f t="shared" ca="1" si="73"/>
        <v>0</v>
      </c>
      <c r="BS13" s="327">
        <f t="shared" ca="1" si="74"/>
        <v>0</v>
      </c>
      <c r="BT13" s="327">
        <f t="shared" ca="1" si="75"/>
        <v>0</v>
      </c>
      <c r="BU13" s="327">
        <f t="shared" ca="1" si="76"/>
        <v>0</v>
      </c>
      <c r="BV13" s="327">
        <f t="shared" ca="1" si="77"/>
        <v>0</v>
      </c>
      <c r="BW13" s="327">
        <f t="shared" ca="1" si="78"/>
        <v>0</v>
      </c>
      <c r="BY13" s="323" t="str">
        <f t="shared" si="79"/>
        <v>heating</v>
      </c>
      <c r="BZ13" s="323">
        <f t="shared" ca="1" si="33"/>
        <v>106</v>
      </c>
      <c r="CA13" s="323">
        <f t="shared" ca="1" si="34"/>
        <v>0</v>
      </c>
      <c r="CB13" s="323">
        <f t="shared" ca="1" si="35"/>
        <v>0</v>
      </c>
      <c r="CC13" s="323">
        <f t="shared" ca="1" si="36"/>
        <v>0</v>
      </c>
      <c r="CD13" s="323">
        <f t="shared" ca="1" si="37"/>
        <v>0</v>
      </c>
      <c r="CE13" s="323">
        <f t="shared" ca="1" si="38"/>
        <v>0</v>
      </c>
      <c r="CF13" s="323">
        <f t="shared" ca="1" si="39"/>
        <v>0</v>
      </c>
      <c r="CG13" s="323">
        <f t="shared" ca="1" si="40"/>
        <v>0</v>
      </c>
      <c r="CI13" s="327">
        <f t="shared" ca="1" si="80"/>
        <v>0</v>
      </c>
      <c r="CJ13" s="327">
        <f t="shared" ca="1" si="81"/>
        <v>0</v>
      </c>
      <c r="CK13" s="327">
        <f t="shared" ca="1" si="82"/>
        <v>0</v>
      </c>
      <c r="CL13" s="327">
        <f t="shared" ca="1" si="83"/>
        <v>0</v>
      </c>
      <c r="CM13" s="327">
        <f t="shared" ca="1" si="84"/>
        <v>0</v>
      </c>
      <c r="CN13" s="327">
        <f t="shared" ca="1" si="85"/>
        <v>0</v>
      </c>
      <c r="CO13" s="327">
        <f t="shared" ca="1" si="86"/>
        <v>0</v>
      </c>
      <c r="CP13" s="328">
        <f t="shared" si="87"/>
        <v>67</v>
      </c>
      <c r="CQ13" s="327">
        <f t="shared" ca="1" si="47"/>
        <v>0</v>
      </c>
      <c r="CR13" s="327">
        <f t="shared" ca="1" si="48"/>
        <v>0</v>
      </c>
      <c r="CS13" s="327">
        <f t="shared" ca="1" si="49"/>
        <v>0</v>
      </c>
      <c r="CT13" s="327">
        <f t="shared" ca="1" si="50"/>
        <v>0</v>
      </c>
      <c r="CU13" s="327">
        <f t="shared" ca="1" si="51"/>
        <v>0</v>
      </c>
      <c r="CV13" s="327">
        <f t="shared" ca="1" si="52"/>
        <v>0</v>
      </c>
      <c r="CW13" s="327">
        <f t="shared" ca="1" si="53"/>
        <v>0</v>
      </c>
      <c r="CY13" s="332"/>
      <c r="CZ13" s="332"/>
      <c r="DA13" s="332"/>
      <c r="DB13" s="332"/>
      <c r="DC13" s="332"/>
      <c r="DD13" s="332"/>
      <c r="DE13" s="332"/>
      <c r="DF13" s="417"/>
      <c r="DG13" s="417"/>
    </row>
    <row r="14" spans="1:111" s="329" customFormat="1" ht="58" x14ac:dyDescent="0.35">
      <c r="A14" s="296" t="s">
        <v>21</v>
      </c>
      <c r="B14" s="11" t="s">
        <v>92</v>
      </c>
      <c r="C14" s="11" t="s">
        <v>85</v>
      </c>
      <c r="D14" s="11" t="s">
        <v>93</v>
      </c>
      <c r="E14" s="411">
        <v>3</v>
      </c>
      <c r="F14" s="412">
        <v>1</v>
      </c>
      <c r="G14" s="411">
        <v>0</v>
      </c>
      <c r="H14" s="406">
        <f t="shared" si="88"/>
        <v>0</v>
      </c>
      <c r="I14" s="415" t="str">
        <f ca="1">IF(AND(O14=1,OR(E14="",E14&lt;0,E14&gt;W14,AND(H14&gt;0,OR(G14="",G14&lt;0,G14&gt;W14)),F14&gt;1,F14&lt;0)),_general!$A$83,"")</f>
        <v/>
      </c>
      <c r="J14" s="110" t="s">
        <v>94</v>
      </c>
      <c r="K14" s="110" t="s">
        <v>95</v>
      </c>
      <c r="L14" s="110" t="s">
        <v>96</v>
      </c>
      <c r="M14" s="110" t="s">
        <v>97</v>
      </c>
      <c r="N14" s="110"/>
      <c r="O14" s="48">
        <f ca="1">IF(AND(INDIRECT(ADDRESS(VLOOKUP(INDIRECT(ADDRESS(ROW(),25)),_general!$A$85:$B$92,2,),7,,,"Building Information"))="yes",'Building Information'!G59=_general!I13),1,0)</f>
        <v>1</v>
      </c>
      <c r="P14" s="111"/>
      <c r="Q14" s="111"/>
      <c r="R14" s="142" t="s">
        <v>863</v>
      </c>
      <c r="S14" s="142">
        <f>IF(OR('Building Information'!$G$44="yes",AND('Building Information'!$G$44="no",'Building Information'!$I$44=_general!$J$3)),1,0)</f>
        <v>1</v>
      </c>
      <c r="T14" s="142">
        <f t="shared" ca="1" si="24"/>
        <v>1</v>
      </c>
      <c r="U14" s="323">
        <f t="shared" ca="1" si="25"/>
        <v>3</v>
      </c>
      <c r="V14" s="323">
        <f t="shared" ca="1" si="54"/>
        <v>0</v>
      </c>
      <c r="W14" s="323">
        <f t="shared" si="26"/>
        <v>3</v>
      </c>
      <c r="X14" s="323">
        <f t="shared" ca="1" si="55"/>
        <v>3</v>
      </c>
      <c r="Y14" s="323" t="str">
        <f>VLOOKUP($B14,overview_of_services!$B$2:$T$123,$Y$2,FALSE)</f>
        <v>heating</v>
      </c>
      <c r="Z14" s="323">
        <f t="shared" ca="1" si="56"/>
        <v>123</v>
      </c>
      <c r="AA14" s="323">
        <f t="shared" ca="1" si="27"/>
        <v>0</v>
      </c>
      <c r="AB14" s="323">
        <f t="shared" ca="1" si="27"/>
        <v>0</v>
      </c>
      <c r="AC14" s="323">
        <f t="shared" ca="1" si="27"/>
        <v>0</v>
      </c>
      <c r="AD14" s="323">
        <f t="shared" ca="1" si="27"/>
        <v>0</v>
      </c>
      <c r="AE14" s="323">
        <f t="shared" ca="1" si="27"/>
        <v>0</v>
      </c>
      <c r="AF14" s="323">
        <f t="shared" ca="1" si="27"/>
        <v>0</v>
      </c>
      <c r="AG14" s="323">
        <f t="shared" ca="1" si="27"/>
        <v>0</v>
      </c>
      <c r="AH14" s="323">
        <f t="shared" ca="1" si="57"/>
        <v>120</v>
      </c>
      <c r="AI14" s="323">
        <f t="shared" ca="1" si="58"/>
        <v>0</v>
      </c>
      <c r="AJ14" s="323">
        <f t="shared" ca="1" si="58"/>
        <v>0</v>
      </c>
      <c r="AK14" s="323">
        <f t="shared" ca="1" si="28"/>
        <v>0</v>
      </c>
      <c r="AL14" s="323">
        <f t="shared" ca="1" si="28"/>
        <v>0</v>
      </c>
      <c r="AM14" s="323">
        <f t="shared" ca="1" si="28"/>
        <v>0</v>
      </c>
      <c r="AN14" s="323">
        <f t="shared" ca="1" si="28"/>
        <v>0</v>
      </c>
      <c r="AO14" s="323">
        <f t="shared" ca="1" si="28"/>
        <v>0</v>
      </c>
      <c r="AP14" s="324"/>
      <c r="AQ14" s="324" t="s">
        <v>973</v>
      </c>
      <c r="AR14" s="325">
        <f>VLOOKUP(Y14,_general!$A$65:$B$73,2,FALSE)+$AR$4</f>
        <v>54</v>
      </c>
      <c r="AS14" s="326">
        <f t="shared" ca="1" si="59"/>
        <v>0.31063256064616018</v>
      </c>
      <c r="AT14" s="326">
        <f t="shared" ca="1" si="29"/>
        <v>0.28992372326974952</v>
      </c>
      <c r="AU14" s="326">
        <f t="shared" ca="1" si="29"/>
        <v>0.13333333333333333</v>
      </c>
      <c r="AV14" s="326">
        <f t="shared" ca="1" si="29"/>
        <v>0.1</v>
      </c>
      <c r="AW14" s="326">
        <f t="shared" ca="1" si="29"/>
        <v>0</v>
      </c>
      <c r="AX14" s="326">
        <f t="shared" ca="1" si="29"/>
        <v>0.31063256064616018</v>
      </c>
      <c r="AY14" s="326">
        <f t="shared" ca="1" si="29"/>
        <v>0.1142857142857143</v>
      </c>
      <c r="AZ14" s="429"/>
      <c r="BA14" s="427">
        <f t="shared" ca="1" si="89"/>
        <v>0</v>
      </c>
      <c r="BB14" s="427">
        <f t="shared" ca="1" si="92"/>
        <v>0</v>
      </c>
      <c r="BC14" s="427">
        <f t="shared" ca="1" si="93"/>
        <v>0</v>
      </c>
      <c r="BD14" s="427">
        <f t="shared" ca="1" si="94"/>
        <v>0</v>
      </c>
      <c r="BE14" s="427">
        <f t="shared" ca="1" si="95"/>
        <v>0</v>
      </c>
      <c r="BF14" s="427">
        <f t="shared" ca="1" si="96"/>
        <v>0</v>
      </c>
      <c r="BG14" s="427">
        <f t="shared" ca="1" si="97"/>
        <v>0</v>
      </c>
      <c r="BH14" s="434"/>
      <c r="BI14" s="427">
        <f t="shared" si="90"/>
        <v>0</v>
      </c>
      <c r="BJ14" s="427">
        <f t="shared" si="98"/>
        <v>0</v>
      </c>
      <c r="BK14" s="427">
        <f t="shared" si="99"/>
        <v>0</v>
      </c>
      <c r="BL14" s="427">
        <f t="shared" si="100"/>
        <v>0</v>
      </c>
      <c r="BM14" s="427">
        <f t="shared" si="101"/>
        <v>0</v>
      </c>
      <c r="BN14" s="427">
        <f t="shared" si="102"/>
        <v>0</v>
      </c>
      <c r="BO14" s="427">
        <f t="shared" si="103"/>
        <v>0</v>
      </c>
      <c r="BP14" s="428">
        <f t="shared" si="72"/>
        <v>67</v>
      </c>
      <c r="BQ14" s="327">
        <f t="shared" ca="1" si="91"/>
        <v>0</v>
      </c>
      <c r="BR14" s="327">
        <f t="shared" ca="1" si="73"/>
        <v>0</v>
      </c>
      <c r="BS14" s="327">
        <f t="shared" ca="1" si="74"/>
        <v>0</v>
      </c>
      <c r="BT14" s="327">
        <f t="shared" ca="1" si="75"/>
        <v>0</v>
      </c>
      <c r="BU14" s="327">
        <f t="shared" ca="1" si="76"/>
        <v>0</v>
      </c>
      <c r="BV14" s="327">
        <f t="shared" ca="1" si="77"/>
        <v>0</v>
      </c>
      <c r="BW14" s="327">
        <f t="shared" ca="1" si="78"/>
        <v>0</v>
      </c>
      <c r="BY14" s="323" t="str">
        <f t="shared" si="79"/>
        <v>heating</v>
      </c>
      <c r="BZ14" s="323">
        <f t="shared" ca="1" si="33"/>
        <v>123</v>
      </c>
      <c r="CA14" s="323">
        <f t="shared" ca="1" si="34"/>
        <v>0</v>
      </c>
      <c r="CB14" s="323">
        <f t="shared" ca="1" si="35"/>
        <v>0</v>
      </c>
      <c r="CC14" s="323">
        <f t="shared" ca="1" si="36"/>
        <v>0</v>
      </c>
      <c r="CD14" s="323">
        <f t="shared" ca="1" si="37"/>
        <v>0</v>
      </c>
      <c r="CE14" s="323">
        <f t="shared" ca="1" si="38"/>
        <v>0</v>
      </c>
      <c r="CF14" s="323">
        <f t="shared" ca="1" si="39"/>
        <v>0</v>
      </c>
      <c r="CG14" s="323">
        <f t="shared" ca="1" si="40"/>
        <v>0</v>
      </c>
      <c r="CI14" s="327">
        <f t="shared" ca="1" si="80"/>
        <v>0</v>
      </c>
      <c r="CJ14" s="327">
        <f t="shared" ca="1" si="81"/>
        <v>0</v>
      </c>
      <c r="CK14" s="327">
        <f t="shared" ca="1" si="82"/>
        <v>0</v>
      </c>
      <c r="CL14" s="327">
        <f t="shared" ca="1" si="83"/>
        <v>0</v>
      </c>
      <c r="CM14" s="327">
        <f t="shared" ca="1" si="84"/>
        <v>0</v>
      </c>
      <c r="CN14" s="327">
        <f t="shared" ca="1" si="85"/>
        <v>0</v>
      </c>
      <c r="CO14" s="327">
        <f t="shared" ca="1" si="86"/>
        <v>0</v>
      </c>
      <c r="CP14" s="328">
        <f t="shared" si="87"/>
        <v>67</v>
      </c>
      <c r="CQ14" s="327">
        <f t="shared" ca="1" si="47"/>
        <v>0</v>
      </c>
      <c r="CR14" s="327">
        <f t="shared" ca="1" si="48"/>
        <v>0</v>
      </c>
      <c r="CS14" s="327">
        <f t="shared" ca="1" si="49"/>
        <v>0</v>
      </c>
      <c r="CT14" s="327">
        <f t="shared" ca="1" si="50"/>
        <v>0</v>
      </c>
      <c r="CU14" s="327">
        <f t="shared" ca="1" si="51"/>
        <v>0</v>
      </c>
      <c r="CV14" s="327">
        <f t="shared" ca="1" si="52"/>
        <v>0</v>
      </c>
      <c r="CW14" s="327">
        <f t="shared" ca="1" si="53"/>
        <v>0</v>
      </c>
      <c r="CY14" s="332"/>
      <c r="CZ14" s="332"/>
      <c r="DA14" s="332"/>
      <c r="DB14" s="332"/>
      <c r="DC14" s="332"/>
      <c r="DD14" s="332"/>
      <c r="DE14" s="332"/>
      <c r="DF14" s="417"/>
      <c r="DG14" s="417"/>
    </row>
    <row r="15" spans="1:111" s="333" customFormat="1" ht="58" x14ac:dyDescent="0.35">
      <c r="A15" s="297" t="s">
        <v>21</v>
      </c>
      <c r="B15" s="11" t="s">
        <v>101</v>
      </c>
      <c r="C15" s="11" t="s">
        <v>85</v>
      </c>
      <c r="D15" s="11" t="s">
        <v>108</v>
      </c>
      <c r="E15" s="411">
        <v>2</v>
      </c>
      <c r="F15" s="412">
        <v>1</v>
      </c>
      <c r="G15" s="411">
        <v>0</v>
      </c>
      <c r="H15" s="406">
        <f>1-F15</f>
        <v>0</v>
      </c>
      <c r="I15" s="415" t="str">
        <f ca="1">IF(AND(O15=1,OR(E15="",E15&lt;0,E15&gt;W15,AND(H15&gt;0,OR(G15="",G15&lt;0,G15&gt;W15)),F15&gt;1,F15&lt;0)),_general!$A$83,"")</f>
        <v/>
      </c>
      <c r="J15" s="110" t="s">
        <v>109</v>
      </c>
      <c r="K15" s="110" t="s">
        <v>110</v>
      </c>
      <c r="L15" s="110" t="s">
        <v>111</v>
      </c>
      <c r="M15" s="110"/>
      <c r="N15" s="110"/>
      <c r="O15" s="48">
        <f ca="1">IF(INDIRECT(ADDRESS(VLOOKUP(INDIRECT(ADDRESS(ROW(),25)),_general!$A$85:$B$92,2,),7,,,"Building Information"))="yes",1,0)</f>
        <v>1</v>
      </c>
      <c r="P15" s="111"/>
      <c r="Q15" s="111"/>
      <c r="R15" s="142" t="s">
        <v>978</v>
      </c>
      <c r="S15" s="142">
        <f>IF(OR('Building Information'!$G$44="yes",AND('Building Information'!$G$44="no",'Building Information'!$I$44=_general!$J$3)),1,0)</f>
        <v>1</v>
      </c>
      <c r="T15" s="142">
        <f ca="1">IF(OR(O15=1,AND(S15=1,R15="always")),1,0)</f>
        <v>1</v>
      </c>
      <c r="U15" s="323">
        <f ca="1">IF(O15=1,E15,0)</f>
        <v>2</v>
      </c>
      <c r="V15" s="323">
        <f ca="1">IF(O15=1,G15,0)</f>
        <v>0</v>
      </c>
      <c r="W15" s="323">
        <f>ISTEXT(J15)+ISTEXT(K15)+ISTEXT(L15)+ISTEXT(M15)+ISTEXT(N15)-1</f>
        <v>2</v>
      </c>
      <c r="X15" s="323">
        <f ca="1">IF(T15=1,W15,0)</f>
        <v>2</v>
      </c>
      <c r="Y15" s="323" t="str">
        <f>VLOOKUP($B15,overview_of_services!$B$2:$T$123,$Y$2,FALSE)</f>
        <v>heating</v>
      </c>
      <c r="Z15" s="323">
        <f ca="1">VLOOKUP(B15,INDIRECT("'"&amp;Y15&amp;"'!"&amp;"C1:Z400"),$Z$2,0)+U15+$Z$4</f>
        <v>136</v>
      </c>
      <c r="AA15" s="323">
        <f t="shared" ref="AA15:AG15" ca="1" si="104">IF($O15=1,INDIRECT(ADDRESS($Z15,AA$2,1,,$Y15)),0)</f>
        <v>2</v>
      </c>
      <c r="AB15" s="323">
        <f t="shared" ca="1" si="104"/>
        <v>2</v>
      </c>
      <c r="AC15" s="323">
        <f t="shared" ca="1" si="104"/>
        <v>1</v>
      </c>
      <c r="AD15" s="323">
        <f t="shared" ca="1" si="104"/>
        <v>1</v>
      </c>
      <c r="AE15" s="323">
        <f t="shared" ca="1" si="104"/>
        <v>0</v>
      </c>
      <c r="AF15" s="323">
        <f t="shared" ca="1" si="104"/>
        <v>0</v>
      </c>
      <c r="AG15" s="323">
        <f t="shared" ca="1" si="104"/>
        <v>0</v>
      </c>
      <c r="AH15" s="323">
        <f ca="1">VLOOKUP(B15,INDIRECT("'"&amp;Y15&amp;"'!"&amp;"C1:Z400"),$Z$2,0)+V15+$Z$4</f>
        <v>134</v>
      </c>
      <c r="AI15" s="323">
        <f t="shared" ref="AI15:AO15" ca="1" si="105">IF($O15=1,INDIRECT(ADDRESS($AH15,AI$2,1,,$Y15)),0)</f>
        <v>0</v>
      </c>
      <c r="AJ15" s="323">
        <f t="shared" ca="1" si="105"/>
        <v>0</v>
      </c>
      <c r="AK15" s="323">
        <f t="shared" ca="1" si="105"/>
        <v>0</v>
      </c>
      <c r="AL15" s="323">
        <f t="shared" ca="1" si="105"/>
        <v>0</v>
      </c>
      <c r="AM15" s="323">
        <f t="shared" ca="1" si="105"/>
        <v>0</v>
      </c>
      <c r="AN15" s="323">
        <f t="shared" ca="1" si="105"/>
        <v>0</v>
      </c>
      <c r="AO15" s="323">
        <f t="shared" ca="1" si="105"/>
        <v>0</v>
      </c>
      <c r="AP15" s="324"/>
      <c r="AQ15" s="324" t="s">
        <v>973</v>
      </c>
      <c r="AR15" s="325">
        <f>VLOOKUP(Y15,_general!$A$65:$B$73,2,FALSE)+$AR$4</f>
        <v>54</v>
      </c>
      <c r="AS15" s="326">
        <f t="shared" ref="AS15:AY15" ca="1" si="106">INDIRECT(ADDRESS($AR15,AS$2,1,,"Weightings"))</f>
        <v>0.31063256064616018</v>
      </c>
      <c r="AT15" s="326">
        <f t="shared" ca="1" si="106"/>
        <v>0.28992372326974952</v>
      </c>
      <c r="AU15" s="326">
        <f t="shared" ca="1" si="106"/>
        <v>0.13333333333333333</v>
      </c>
      <c r="AV15" s="326">
        <f t="shared" ca="1" si="106"/>
        <v>0.1</v>
      </c>
      <c r="AW15" s="326">
        <f t="shared" ca="1" si="106"/>
        <v>0</v>
      </c>
      <c r="AX15" s="326">
        <f t="shared" ca="1" si="106"/>
        <v>0.31063256064616018</v>
      </c>
      <c r="AY15" s="326">
        <f t="shared" ca="1" si="106"/>
        <v>0.1142857142857143</v>
      </c>
      <c r="AZ15" s="429"/>
      <c r="BA15" s="427">
        <f t="shared" ref="BA15:BG15" ca="1" si="107">AA15*AS15</f>
        <v>0.62126512129232037</v>
      </c>
      <c r="BB15" s="427">
        <f t="shared" ca="1" si="107"/>
        <v>0.57984744653949905</v>
      </c>
      <c r="BC15" s="427">
        <f t="shared" ca="1" si="107"/>
        <v>0.13333333333333333</v>
      </c>
      <c r="BD15" s="427">
        <f t="shared" ca="1" si="107"/>
        <v>0.1</v>
      </c>
      <c r="BE15" s="427">
        <f t="shared" ca="1" si="107"/>
        <v>0</v>
      </c>
      <c r="BF15" s="427">
        <f t="shared" ca="1" si="107"/>
        <v>0</v>
      </c>
      <c r="BG15" s="427">
        <f t="shared" ca="1" si="107"/>
        <v>0</v>
      </c>
      <c r="BH15" s="434"/>
      <c r="BI15" s="427">
        <f t="shared" ref="BI15:BO15" si="108">IF($H15&gt;0,AI15*AS15,0)</f>
        <v>0</v>
      </c>
      <c r="BJ15" s="427">
        <f t="shared" si="108"/>
        <v>0</v>
      </c>
      <c r="BK15" s="427">
        <f t="shared" si="108"/>
        <v>0</v>
      </c>
      <c r="BL15" s="427">
        <f t="shared" si="108"/>
        <v>0</v>
      </c>
      <c r="BM15" s="427">
        <f t="shared" si="108"/>
        <v>0</v>
      </c>
      <c r="BN15" s="427">
        <f t="shared" si="108"/>
        <v>0</v>
      </c>
      <c r="BO15" s="427">
        <f t="shared" si="108"/>
        <v>0</v>
      </c>
      <c r="BP15" s="428">
        <f t="shared" si="72"/>
        <v>67</v>
      </c>
      <c r="BQ15" s="327">
        <f t="shared" ref="BQ15:BW15" ca="1" si="109">INDIRECT(ADDRESS($BP15,BQ$2,1,,"Weightings"))*(BA15*$F15+BI15*$H15)</f>
        <v>0.10354418688205339</v>
      </c>
      <c r="BR15" s="327">
        <f t="shared" ca="1" si="109"/>
        <v>0.19328248217983302</v>
      </c>
      <c r="BS15" s="327">
        <f t="shared" ca="1" si="109"/>
        <v>1.111111111111111E-2</v>
      </c>
      <c r="BT15" s="327">
        <f t="shared" ca="1" si="109"/>
        <v>8.3333333333333332E-3</v>
      </c>
      <c r="BU15" s="327">
        <f t="shared" ca="1" si="109"/>
        <v>0</v>
      </c>
      <c r="BV15" s="327">
        <f t="shared" ca="1" si="109"/>
        <v>0</v>
      </c>
      <c r="BW15" s="327">
        <f t="shared" ca="1" si="109"/>
        <v>0</v>
      </c>
      <c r="BX15" s="329"/>
      <c r="BY15" s="323" t="str">
        <f>Y15</f>
        <v>heating</v>
      </c>
      <c r="BZ15" s="323">
        <f ca="1">VLOOKUP(B15,INDIRECT("'"&amp;Y15&amp;"'!"&amp;"C1:Z500"),$Z$2,0)+X15+$Z$4</f>
        <v>136</v>
      </c>
      <c r="CA15" s="323">
        <f t="shared" ref="CA15:CG15" ca="1" si="110">IF($O15=1,INDIRECT(ADDRESS($BZ15,AI$2,1,,$BY15)),0)</f>
        <v>2</v>
      </c>
      <c r="CB15" s="323">
        <f t="shared" ca="1" si="110"/>
        <v>2</v>
      </c>
      <c r="CC15" s="323">
        <f t="shared" ca="1" si="110"/>
        <v>1</v>
      </c>
      <c r="CD15" s="323">
        <f t="shared" ca="1" si="110"/>
        <v>1</v>
      </c>
      <c r="CE15" s="323">
        <f t="shared" ca="1" si="110"/>
        <v>0</v>
      </c>
      <c r="CF15" s="323">
        <f t="shared" ca="1" si="110"/>
        <v>0</v>
      </c>
      <c r="CG15" s="323">
        <f t="shared" ca="1" si="110"/>
        <v>0</v>
      </c>
      <c r="CI15" s="327">
        <f t="shared" ref="CI15:CO15" ca="1" si="111">AS15*CA15</f>
        <v>0.62126512129232037</v>
      </c>
      <c r="CJ15" s="327">
        <f t="shared" ca="1" si="111"/>
        <v>0.57984744653949905</v>
      </c>
      <c r="CK15" s="327">
        <f t="shared" ca="1" si="111"/>
        <v>0.13333333333333333</v>
      </c>
      <c r="CL15" s="327">
        <f t="shared" ca="1" si="111"/>
        <v>0.1</v>
      </c>
      <c r="CM15" s="327">
        <f t="shared" ca="1" si="111"/>
        <v>0</v>
      </c>
      <c r="CN15" s="327">
        <f t="shared" ca="1" si="111"/>
        <v>0</v>
      </c>
      <c r="CO15" s="327">
        <f t="shared" ca="1" si="111"/>
        <v>0</v>
      </c>
      <c r="CP15" s="328">
        <f>BP15</f>
        <v>67</v>
      </c>
      <c r="CQ15" s="327">
        <f ca="1">INDIRECT(ADDRESS($CP15,CQ$2,1,,"Weightings"))*CI15</f>
        <v>0.10354418688205339</v>
      </c>
      <c r="CR15" s="327">
        <f t="shared" ref="CR15:CW15" ca="1" si="112">INDIRECT(ADDRESS($BP15,CR$2,1,,"Weightings"))*CJ15</f>
        <v>0.19328248217983302</v>
      </c>
      <c r="CS15" s="327">
        <f t="shared" ca="1" si="112"/>
        <v>1.111111111111111E-2</v>
      </c>
      <c r="CT15" s="327">
        <f t="shared" ca="1" si="112"/>
        <v>8.3333333333333332E-3</v>
      </c>
      <c r="CU15" s="327">
        <f t="shared" ca="1" si="112"/>
        <v>0</v>
      </c>
      <c r="CV15" s="327">
        <f t="shared" ca="1" si="112"/>
        <v>0</v>
      </c>
      <c r="CW15" s="327">
        <f t="shared" ca="1" si="112"/>
        <v>0</v>
      </c>
      <c r="CY15" s="334"/>
      <c r="CZ15" s="334"/>
      <c r="DA15" s="334"/>
      <c r="DB15" s="334"/>
      <c r="DC15" s="334"/>
      <c r="DD15" s="334"/>
      <c r="DE15" s="334"/>
      <c r="DF15" s="418"/>
      <c r="DG15" s="418"/>
    </row>
    <row r="16" spans="1:111" s="329" customFormat="1" ht="100.5" customHeight="1" x14ac:dyDescent="0.35">
      <c r="A16" s="296" t="s">
        <v>21</v>
      </c>
      <c r="B16" s="11" t="s">
        <v>107</v>
      </c>
      <c r="C16" s="11" t="s">
        <v>85</v>
      </c>
      <c r="D16" s="11" t="s">
        <v>102</v>
      </c>
      <c r="E16" s="411">
        <v>4</v>
      </c>
      <c r="F16" s="412">
        <v>1</v>
      </c>
      <c r="G16" s="411">
        <v>0</v>
      </c>
      <c r="H16" s="406">
        <f t="shared" si="88"/>
        <v>0</v>
      </c>
      <c r="I16" s="415" t="str">
        <f ca="1">IF(AND(O16=1,OR(E16="",E16&lt;0,E16&gt;W16,AND(H16&gt;0,OR(G16="",G16&lt;0,G16&gt;W16)),F16&gt;1,F16&lt;0)),_general!$A$83,"")</f>
        <v/>
      </c>
      <c r="J16" s="110" t="s">
        <v>103</v>
      </c>
      <c r="K16" s="110" t="s">
        <v>1073</v>
      </c>
      <c r="L16" s="110" t="s">
        <v>1074</v>
      </c>
      <c r="M16" s="110" t="s">
        <v>1075</v>
      </c>
      <c r="N16" s="110" t="s">
        <v>1076</v>
      </c>
      <c r="O16" s="48">
        <f ca="1">IF(AND(INDIRECT(ADDRESS(VLOOKUP(INDIRECT(ADDRESS(ROW(),25)),_general!$A$85:$B$92,2,),7,,,"Building Information"))="yes",'Building Information'!G61=_general!I22,NOT('Building Information'!$G$59=_general!$I$16)),1,0)</f>
        <v>1</v>
      </c>
      <c r="P16" s="111"/>
      <c r="Q16" s="111"/>
      <c r="R16" s="142" t="s">
        <v>863</v>
      </c>
      <c r="S16" s="142">
        <f>IF(OR('Building Information'!$G$44="yes",AND('Building Information'!$G$44="no",'Building Information'!$I$44=_general!$J$3)),1,0)</f>
        <v>1</v>
      </c>
      <c r="T16" s="142">
        <f t="shared" ca="1" si="24"/>
        <v>1</v>
      </c>
      <c r="U16" s="323">
        <f t="shared" ca="1" si="25"/>
        <v>4</v>
      </c>
      <c r="V16" s="323">
        <f t="shared" ca="1" si="54"/>
        <v>0</v>
      </c>
      <c r="W16" s="323">
        <f t="shared" si="26"/>
        <v>4</v>
      </c>
      <c r="X16" s="323">
        <f t="shared" ca="1" si="55"/>
        <v>4</v>
      </c>
      <c r="Y16" s="323" t="str">
        <f>VLOOKUP($B16,overview_of_services!$B$2:$T$123,$Y$2,FALSE)</f>
        <v>heating</v>
      </c>
      <c r="Z16" s="323">
        <f t="shared" ca="1" si="56"/>
        <v>152</v>
      </c>
      <c r="AA16" s="323">
        <f t="shared" ca="1" si="27"/>
        <v>3</v>
      </c>
      <c r="AB16" s="323">
        <f t="shared" ca="1" si="27"/>
        <v>2</v>
      </c>
      <c r="AC16" s="323">
        <f t="shared" ca="1" si="27"/>
        <v>0</v>
      </c>
      <c r="AD16" s="323">
        <f t="shared" ca="1" si="27"/>
        <v>0</v>
      </c>
      <c r="AE16" s="323">
        <f t="shared" ca="1" si="27"/>
        <v>0</v>
      </c>
      <c r="AF16" s="323">
        <f t="shared" ca="1" si="27"/>
        <v>0</v>
      </c>
      <c r="AG16" s="323">
        <f t="shared" ca="1" si="27"/>
        <v>0</v>
      </c>
      <c r="AH16" s="323">
        <f t="shared" ca="1" si="57"/>
        <v>148</v>
      </c>
      <c r="AI16" s="323">
        <f t="shared" ca="1" si="58"/>
        <v>0</v>
      </c>
      <c r="AJ16" s="323">
        <f t="shared" ca="1" si="58"/>
        <v>0</v>
      </c>
      <c r="AK16" s="323">
        <f t="shared" ca="1" si="28"/>
        <v>0</v>
      </c>
      <c r="AL16" s="323">
        <f t="shared" ca="1" si="28"/>
        <v>0</v>
      </c>
      <c r="AM16" s="323">
        <f t="shared" ca="1" si="28"/>
        <v>0</v>
      </c>
      <c r="AN16" s="323">
        <f t="shared" ca="1" si="28"/>
        <v>0</v>
      </c>
      <c r="AO16" s="323">
        <f t="shared" ca="1" si="28"/>
        <v>0</v>
      </c>
      <c r="AP16" s="324"/>
      <c r="AQ16" s="324" t="s">
        <v>973</v>
      </c>
      <c r="AR16" s="325">
        <f>VLOOKUP(Y16,_general!$A$65:$B$73,2,FALSE)+$AR$4</f>
        <v>54</v>
      </c>
      <c r="AS16" s="326">
        <f t="shared" ca="1" si="59"/>
        <v>0.31063256064616018</v>
      </c>
      <c r="AT16" s="326">
        <f t="shared" ca="1" si="29"/>
        <v>0.28992372326974952</v>
      </c>
      <c r="AU16" s="326">
        <f t="shared" ca="1" si="29"/>
        <v>0.13333333333333333</v>
      </c>
      <c r="AV16" s="326">
        <f t="shared" ca="1" si="29"/>
        <v>0.1</v>
      </c>
      <c r="AW16" s="326">
        <f t="shared" ca="1" si="29"/>
        <v>0</v>
      </c>
      <c r="AX16" s="326">
        <f t="shared" ca="1" si="29"/>
        <v>0.31063256064616018</v>
      </c>
      <c r="AY16" s="326">
        <f t="shared" ca="1" si="29"/>
        <v>0.1142857142857143</v>
      </c>
      <c r="AZ16" s="429"/>
      <c r="BA16" s="427">
        <f t="shared" ca="1" si="89"/>
        <v>0.93189768193848055</v>
      </c>
      <c r="BB16" s="427">
        <f t="shared" ca="1" si="92"/>
        <v>0.57984744653949905</v>
      </c>
      <c r="BC16" s="427">
        <f t="shared" ca="1" si="93"/>
        <v>0</v>
      </c>
      <c r="BD16" s="427">
        <f t="shared" ca="1" si="94"/>
        <v>0</v>
      </c>
      <c r="BE16" s="427">
        <f t="shared" ca="1" si="95"/>
        <v>0</v>
      </c>
      <c r="BF16" s="427">
        <f t="shared" ca="1" si="96"/>
        <v>0</v>
      </c>
      <c r="BG16" s="427">
        <f t="shared" ca="1" si="97"/>
        <v>0</v>
      </c>
      <c r="BH16" s="434"/>
      <c r="BI16" s="427">
        <f t="shared" si="90"/>
        <v>0</v>
      </c>
      <c r="BJ16" s="427">
        <f t="shared" si="98"/>
        <v>0</v>
      </c>
      <c r="BK16" s="427">
        <f t="shared" si="99"/>
        <v>0</v>
      </c>
      <c r="BL16" s="427">
        <f t="shared" si="100"/>
        <v>0</v>
      </c>
      <c r="BM16" s="427">
        <f t="shared" si="101"/>
        <v>0</v>
      </c>
      <c r="BN16" s="427">
        <f t="shared" si="102"/>
        <v>0</v>
      </c>
      <c r="BO16" s="427">
        <f t="shared" si="103"/>
        <v>0</v>
      </c>
      <c r="BP16" s="428">
        <f t="shared" si="72"/>
        <v>67</v>
      </c>
      <c r="BQ16" s="327">
        <f t="shared" ca="1" si="91"/>
        <v>0.15531628032308009</v>
      </c>
      <c r="BR16" s="327">
        <f t="shared" ca="1" si="73"/>
        <v>0.19328248217983302</v>
      </c>
      <c r="BS16" s="327">
        <f t="shared" ca="1" si="74"/>
        <v>0</v>
      </c>
      <c r="BT16" s="327">
        <f t="shared" ca="1" si="75"/>
        <v>0</v>
      </c>
      <c r="BU16" s="327">
        <f t="shared" ca="1" si="76"/>
        <v>0</v>
      </c>
      <c r="BV16" s="327">
        <f t="shared" ca="1" si="77"/>
        <v>0</v>
      </c>
      <c r="BW16" s="327">
        <f t="shared" ca="1" si="78"/>
        <v>0</v>
      </c>
      <c r="BY16" s="323" t="str">
        <f t="shared" si="79"/>
        <v>heating</v>
      </c>
      <c r="BZ16" s="323">
        <f t="shared" ca="1" si="33"/>
        <v>152</v>
      </c>
      <c r="CA16" s="323">
        <f t="shared" ca="1" si="34"/>
        <v>3</v>
      </c>
      <c r="CB16" s="323">
        <f t="shared" ca="1" si="35"/>
        <v>2</v>
      </c>
      <c r="CC16" s="323">
        <f t="shared" ca="1" si="36"/>
        <v>0</v>
      </c>
      <c r="CD16" s="323">
        <f t="shared" ca="1" si="37"/>
        <v>0</v>
      </c>
      <c r="CE16" s="323">
        <f t="shared" ca="1" si="38"/>
        <v>0</v>
      </c>
      <c r="CF16" s="323">
        <f t="shared" ca="1" si="39"/>
        <v>0</v>
      </c>
      <c r="CG16" s="323">
        <f t="shared" ca="1" si="40"/>
        <v>0</v>
      </c>
      <c r="CI16" s="327">
        <f t="shared" ca="1" si="80"/>
        <v>0.93189768193848055</v>
      </c>
      <c r="CJ16" s="327">
        <f t="shared" ca="1" si="81"/>
        <v>0.57984744653949905</v>
      </c>
      <c r="CK16" s="327">
        <f t="shared" ca="1" si="82"/>
        <v>0</v>
      </c>
      <c r="CL16" s="327">
        <f t="shared" ca="1" si="83"/>
        <v>0</v>
      </c>
      <c r="CM16" s="327">
        <f t="shared" ca="1" si="84"/>
        <v>0</v>
      </c>
      <c r="CN16" s="327">
        <f t="shared" ca="1" si="85"/>
        <v>0</v>
      </c>
      <c r="CO16" s="327">
        <f t="shared" ca="1" si="86"/>
        <v>0</v>
      </c>
      <c r="CP16" s="328">
        <f t="shared" si="87"/>
        <v>67</v>
      </c>
      <c r="CQ16" s="327">
        <f t="shared" ca="1" si="47"/>
        <v>0.15531628032308009</v>
      </c>
      <c r="CR16" s="327">
        <f t="shared" ca="1" si="48"/>
        <v>0.19328248217983302</v>
      </c>
      <c r="CS16" s="327">
        <f t="shared" ca="1" si="49"/>
        <v>0</v>
      </c>
      <c r="CT16" s="327">
        <f t="shared" ca="1" si="50"/>
        <v>0</v>
      </c>
      <c r="CU16" s="327">
        <f t="shared" ca="1" si="51"/>
        <v>0</v>
      </c>
      <c r="CV16" s="327">
        <f t="shared" ca="1" si="52"/>
        <v>0</v>
      </c>
      <c r="CW16" s="327">
        <f t="shared" ca="1" si="53"/>
        <v>0</v>
      </c>
      <c r="CY16" s="332"/>
      <c r="CZ16" s="332"/>
      <c r="DA16" s="332"/>
      <c r="DB16" s="332"/>
      <c r="DC16" s="332"/>
      <c r="DD16" s="332"/>
      <c r="DE16" s="332"/>
      <c r="DF16" s="417"/>
      <c r="DG16" s="417"/>
    </row>
    <row r="17" spans="1:111" s="333" customFormat="1" ht="58" x14ac:dyDescent="0.35">
      <c r="A17" s="297" t="s">
        <v>21</v>
      </c>
      <c r="B17" s="11" t="s">
        <v>124</v>
      </c>
      <c r="C17" s="11" t="s">
        <v>125</v>
      </c>
      <c r="D17" s="11" t="s">
        <v>1077</v>
      </c>
      <c r="E17" s="411">
        <v>3</v>
      </c>
      <c r="F17" s="412">
        <v>1</v>
      </c>
      <c r="G17" s="411">
        <v>0</v>
      </c>
      <c r="H17" s="406">
        <f t="shared" si="88"/>
        <v>0</v>
      </c>
      <c r="I17" s="415" t="str">
        <f ca="1">IF(AND(O17=1,OR(E17="",E17&lt;0,E17&gt;W17,AND(H17&gt;0,OR(G17="",G17&lt;0,G17&gt;W17)),F17&gt;1,F17&lt;0)),_general!$A$83,"")</f>
        <v/>
      </c>
      <c r="J17" s="110" t="s">
        <v>81</v>
      </c>
      <c r="K17" s="110" t="s">
        <v>127</v>
      </c>
      <c r="L17" s="110" t="s">
        <v>128</v>
      </c>
      <c r="M17" s="110" t="s">
        <v>129</v>
      </c>
      <c r="N17" s="110" t="s">
        <v>130</v>
      </c>
      <c r="O17" s="48">
        <f ca="1">IF(INDIRECT(ADDRESS(VLOOKUP(INDIRECT(ADDRESS(ROW(),25)),_general!$A$85:$B$92,2,),7,,,"Building Information"))="yes",1,0)</f>
        <v>1</v>
      </c>
      <c r="P17" s="111"/>
      <c r="Q17" s="111"/>
      <c r="R17" s="142" t="s">
        <v>978</v>
      </c>
      <c r="S17" s="142">
        <f>IF(OR('Building Information'!$G$44="yes",AND('Building Information'!$G$44="no",'Building Information'!$I$44=_general!$J$3)),1,0)</f>
        <v>1</v>
      </c>
      <c r="T17" s="142">
        <f t="shared" ca="1" si="24"/>
        <v>1</v>
      </c>
      <c r="U17" s="323">
        <f t="shared" ca="1" si="25"/>
        <v>3</v>
      </c>
      <c r="V17" s="323">
        <f t="shared" ca="1" si="54"/>
        <v>0</v>
      </c>
      <c r="W17" s="323">
        <f t="shared" si="26"/>
        <v>4</v>
      </c>
      <c r="X17" s="323">
        <f t="shared" ca="1" si="55"/>
        <v>4</v>
      </c>
      <c r="Y17" s="323" t="str">
        <f>VLOOKUP($B17,overview_of_services!$B$2:$T$123,$Y$2,FALSE)</f>
        <v>heating</v>
      </c>
      <c r="Z17" s="323">
        <f t="shared" ca="1" si="56"/>
        <v>179</v>
      </c>
      <c r="AA17" s="323">
        <f t="shared" ref="AA17:AG24" ca="1" si="113">IF($O17=1,INDIRECT(ADDRESS($Z17,AA$2,1,,$Y17)),0)</f>
        <v>1</v>
      </c>
      <c r="AB17" s="323">
        <f t="shared" ca="1" si="113"/>
        <v>0</v>
      </c>
      <c r="AC17" s="323">
        <f t="shared" ca="1" si="113"/>
        <v>0</v>
      </c>
      <c r="AD17" s="323">
        <f t="shared" ca="1" si="113"/>
        <v>0</v>
      </c>
      <c r="AE17" s="323">
        <f t="shared" ca="1" si="113"/>
        <v>0</v>
      </c>
      <c r="AF17" s="323">
        <f t="shared" ca="1" si="113"/>
        <v>1</v>
      </c>
      <c r="AG17" s="323">
        <f t="shared" ca="1" si="113"/>
        <v>3</v>
      </c>
      <c r="AH17" s="323">
        <f t="shared" ca="1" si="57"/>
        <v>176</v>
      </c>
      <c r="AI17" s="323">
        <f t="shared" ca="1" si="58"/>
        <v>0</v>
      </c>
      <c r="AJ17" s="323">
        <f t="shared" ca="1" si="58"/>
        <v>0</v>
      </c>
      <c r="AK17" s="323">
        <f t="shared" ca="1" si="28"/>
        <v>0</v>
      </c>
      <c r="AL17" s="323">
        <f t="shared" ca="1" si="28"/>
        <v>0</v>
      </c>
      <c r="AM17" s="323">
        <f t="shared" ca="1" si="28"/>
        <v>0</v>
      </c>
      <c r="AN17" s="323">
        <f t="shared" ca="1" si="28"/>
        <v>0</v>
      </c>
      <c r="AO17" s="323">
        <f t="shared" ca="1" si="28"/>
        <v>0</v>
      </c>
      <c r="AP17" s="324"/>
      <c r="AQ17" s="324" t="s">
        <v>973</v>
      </c>
      <c r="AR17" s="325">
        <f>VLOOKUP(Y17,_general!$A$65:$B$73,2,FALSE)+$AR$4</f>
        <v>54</v>
      </c>
      <c r="AS17" s="326">
        <f t="shared" ca="1" si="59"/>
        <v>0.31063256064616018</v>
      </c>
      <c r="AT17" s="326">
        <f t="shared" ca="1" si="29"/>
        <v>0.28992372326974952</v>
      </c>
      <c r="AU17" s="326">
        <f t="shared" ca="1" si="29"/>
        <v>0.13333333333333333</v>
      </c>
      <c r="AV17" s="326">
        <f t="shared" ca="1" si="29"/>
        <v>0.1</v>
      </c>
      <c r="AW17" s="326">
        <f t="shared" ca="1" si="29"/>
        <v>0</v>
      </c>
      <c r="AX17" s="326">
        <f t="shared" ca="1" si="29"/>
        <v>0.31063256064616018</v>
      </c>
      <c r="AY17" s="326">
        <f t="shared" ca="1" si="29"/>
        <v>0.1142857142857143</v>
      </c>
      <c r="AZ17" s="429"/>
      <c r="BA17" s="427">
        <f t="shared" ca="1" si="89"/>
        <v>0.31063256064616018</v>
      </c>
      <c r="BB17" s="427">
        <f t="shared" ca="1" si="92"/>
        <v>0</v>
      </c>
      <c r="BC17" s="427">
        <f t="shared" ca="1" si="93"/>
        <v>0</v>
      </c>
      <c r="BD17" s="427">
        <f t="shared" ca="1" si="94"/>
        <v>0</v>
      </c>
      <c r="BE17" s="427">
        <f t="shared" ca="1" si="95"/>
        <v>0</v>
      </c>
      <c r="BF17" s="427">
        <f t="shared" ca="1" si="96"/>
        <v>0.31063256064616018</v>
      </c>
      <c r="BG17" s="427">
        <f t="shared" ca="1" si="97"/>
        <v>0.34285714285714286</v>
      </c>
      <c r="BH17" s="434"/>
      <c r="BI17" s="427">
        <f t="shared" si="90"/>
        <v>0</v>
      </c>
      <c r="BJ17" s="427">
        <f t="shared" si="98"/>
        <v>0</v>
      </c>
      <c r="BK17" s="427">
        <f t="shared" si="99"/>
        <v>0</v>
      </c>
      <c r="BL17" s="427">
        <f t="shared" si="100"/>
        <v>0</v>
      </c>
      <c r="BM17" s="427">
        <f t="shared" si="101"/>
        <v>0</v>
      </c>
      <c r="BN17" s="427">
        <f t="shared" si="102"/>
        <v>0</v>
      </c>
      <c r="BO17" s="427">
        <f t="shared" si="103"/>
        <v>0</v>
      </c>
      <c r="BP17" s="428">
        <f t="shared" si="72"/>
        <v>67</v>
      </c>
      <c r="BQ17" s="327">
        <f t="shared" ca="1" si="91"/>
        <v>5.1772093441026693E-2</v>
      </c>
      <c r="BR17" s="327">
        <f t="shared" ca="1" si="73"/>
        <v>0</v>
      </c>
      <c r="BS17" s="327">
        <f t="shared" ca="1" si="74"/>
        <v>0</v>
      </c>
      <c r="BT17" s="327">
        <f t="shared" ca="1" si="75"/>
        <v>0</v>
      </c>
      <c r="BU17" s="327">
        <f t="shared" ca="1" si="76"/>
        <v>0</v>
      </c>
      <c r="BV17" s="327">
        <f t="shared" ca="1" si="77"/>
        <v>5.1772093441026693E-2</v>
      </c>
      <c r="BW17" s="327">
        <f t="shared" ca="1" si="78"/>
        <v>2.8571428571428571E-2</v>
      </c>
      <c r="BX17" s="329"/>
      <c r="BY17" s="323" t="str">
        <f t="shared" si="79"/>
        <v>heating</v>
      </c>
      <c r="BZ17" s="323">
        <f t="shared" ca="1" si="33"/>
        <v>180</v>
      </c>
      <c r="CA17" s="323">
        <f t="shared" ca="1" si="34"/>
        <v>1</v>
      </c>
      <c r="CB17" s="323">
        <f t="shared" ca="1" si="35"/>
        <v>0</v>
      </c>
      <c r="CC17" s="323">
        <f t="shared" ca="1" si="36"/>
        <v>0</v>
      </c>
      <c r="CD17" s="323">
        <f t="shared" ca="1" si="37"/>
        <v>1</v>
      </c>
      <c r="CE17" s="323">
        <f t="shared" ca="1" si="38"/>
        <v>0</v>
      </c>
      <c r="CF17" s="323">
        <f t="shared" ca="1" si="39"/>
        <v>2</v>
      </c>
      <c r="CG17" s="323">
        <f t="shared" ca="1" si="40"/>
        <v>3</v>
      </c>
      <c r="CI17" s="327">
        <f t="shared" ca="1" si="80"/>
        <v>0.31063256064616018</v>
      </c>
      <c r="CJ17" s="327">
        <f t="shared" ca="1" si="81"/>
        <v>0</v>
      </c>
      <c r="CK17" s="327">
        <f t="shared" ca="1" si="82"/>
        <v>0</v>
      </c>
      <c r="CL17" s="327">
        <f t="shared" ca="1" si="83"/>
        <v>0.1</v>
      </c>
      <c r="CM17" s="327">
        <f t="shared" ca="1" si="84"/>
        <v>0</v>
      </c>
      <c r="CN17" s="327">
        <f t="shared" ca="1" si="85"/>
        <v>0.62126512129232037</v>
      </c>
      <c r="CO17" s="327">
        <f t="shared" ca="1" si="86"/>
        <v>0.34285714285714286</v>
      </c>
      <c r="CP17" s="328">
        <f t="shared" si="87"/>
        <v>67</v>
      </c>
      <c r="CQ17" s="327">
        <f t="shared" ca="1" si="47"/>
        <v>5.1772093441026693E-2</v>
      </c>
      <c r="CR17" s="327">
        <f t="shared" ca="1" si="48"/>
        <v>0</v>
      </c>
      <c r="CS17" s="327">
        <f t="shared" ca="1" si="49"/>
        <v>0</v>
      </c>
      <c r="CT17" s="327">
        <f t="shared" ca="1" si="50"/>
        <v>8.3333333333333332E-3</v>
      </c>
      <c r="CU17" s="327">
        <f t="shared" ca="1" si="51"/>
        <v>0</v>
      </c>
      <c r="CV17" s="327">
        <f t="shared" ca="1" si="52"/>
        <v>0.10354418688205339</v>
      </c>
      <c r="CW17" s="327">
        <f t="shared" ca="1" si="53"/>
        <v>2.8571428571428571E-2</v>
      </c>
      <c r="CY17" s="334"/>
      <c r="CZ17" s="334"/>
      <c r="DA17" s="334"/>
      <c r="DB17" s="334"/>
      <c r="DC17" s="334"/>
      <c r="DD17" s="334"/>
      <c r="DE17" s="334"/>
      <c r="DF17" s="418"/>
      <c r="DG17" s="418"/>
    </row>
    <row r="18" spans="1:111" s="335" customFormat="1" ht="58" x14ac:dyDescent="0.35">
      <c r="A18" s="298"/>
      <c r="B18" s="13" t="s">
        <v>138</v>
      </c>
      <c r="C18" s="13" t="s">
        <v>139</v>
      </c>
      <c r="D18" s="13" t="s">
        <v>140</v>
      </c>
      <c r="E18" s="411"/>
      <c r="F18" s="412">
        <v>1</v>
      </c>
      <c r="G18" s="411">
        <v>0</v>
      </c>
      <c r="H18" s="406">
        <f t="shared" si="88"/>
        <v>0</v>
      </c>
      <c r="I18" s="415" t="str">
        <f ca="1">IF(AND(O18=1,OR(E18="",E18&lt;0,E18&gt;W18,AND(H18&gt;0,OR(G18="",G18&lt;0,G18&gt;W18)),F18&gt;1,F18&lt;0)),_general!$A$83,"")</f>
        <v/>
      </c>
      <c r="J18" s="110" t="s">
        <v>141</v>
      </c>
      <c r="K18" s="110" t="s">
        <v>142</v>
      </c>
      <c r="L18" s="110" t="s">
        <v>143</v>
      </c>
      <c r="M18" s="110" t="s">
        <v>144</v>
      </c>
      <c r="N18" s="110"/>
      <c r="O18" s="48">
        <f ca="1">IF(AND(INDIRECT(ADDRESS(VLOOKUP(INDIRECT(ADDRESS(ROW(),25)),_general!$A$85:$B$92,2,),7,,,"Building Information"))="yes",'Building Information'!$G$68=_general!$I$27,'Building Information'!$G$67=_general!$I$25),1,0)</f>
        <v>0</v>
      </c>
      <c r="P18" s="111"/>
      <c r="Q18" s="111"/>
      <c r="R18" s="142" t="s">
        <v>863</v>
      </c>
      <c r="S18" s="142">
        <f>IF(OR('Building Information'!$G$45="yes",AND('Building Information'!$G$45="no",'Building Information'!$I$45=_general!$J$3)),1,0)</f>
        <v>1</v>
      </c>
      <c r="T18" s="142">
        <f t="shared" ca="1" si="24"/>
        <v>0</v>
      </c>
      <c r="U18" s="323">
        <f t="shared" ca="1" si="25"/>
        <v>0</v>
      </c>
      <c r="V18" s="323">
        <f t="shared" ca="1" si="54"/>
        <v>0</v>
      </c>
      <c r="W18" s="323">
        <f t="shared" si="26"/>
        <v>3</v>
      </c>
      <c r="X18" s="323">
        <f t="shared" ca="1" si="55"/>
        <v>0</v>
      </c>
      <c r="Y18" s="323" t="str">
        <f>VLOOKUP($B18,overview_of_services!$B$2:$T$123,$Y$2,FALSE)</f>
        <v>dhw</v>
      </c>
      <c r="Z18" s="323">
        <f t="shared" ca="1" si="56"/>
        <v>8</v>
      </c>
      <c r="AA18" s="323">
        <f t="shared" ca="1" si="113"/>
        <v>0</v>
      </c>
      <c r="AB18" s="323">
        <f t="shared" ca="1" si="113"/>
        <v>0</v>
      </c>
      <c r="AC18" s="323">
        <f t="shared" ca="1" si="113"/>
        <v>0</v>
      </c>
      <c r="AD18" s="323">
        <f t="shared" ca="1" si="113"/>
        <v>0</v>
      </c>
      <c r="AE18" s="323">
        <f t="shared" ca="1" si="113"/>
        <v>0</v>
      </c>
      <c r="AF18" s="323">
        <f t="shared" ca="1" si="113"/>
        <v>0</v>
      </c>
      <c r="AG18" s="323">
        <f t="shared" ca="1" si="113"/>
        <v>0</v>
      </c>
      <c r="AH18" s="323">
        <f t="shared" ca="1" si="57"/>
        <v>8</v>
      </c>
      <c r="AI18" s="323">
        <f t="shared" ca="1" si="58"/>
        <v>0</v>
      </c>
      <c r="AJ18" s="323">
        <f t="shared" ca="1" si="58"/>
        <v>0</v>
      </c>
      <c r="AK18" s="323">
        <f t="shared" ca="1" si="28"/>
        <v>0</v>
      </c>
      <c r="AL18" s="323">
        <f t="shared" ca="1" si="28"/>
        <v>0</v>
      </c>
      <c r="AM18" s="323">
        <f t="shared" ca="1" si="28"/>
        <v>0</v>
      </c>
      <c r="AN18" s="323">
        <f t="shared" ca="1" si="28"/>
        <v>0</v>
      </c>
      <c r="AO18" s="323">
        <f t="shared" ca="1" si="28"/>
        <v>0</v>
      </c>
      <c r="AP18" s="324"/>
      <c r="AQ18" s="324" t="s">
        <v>973</v>
      </c>
      <c r="AR18" s="325">
        <f>VLOOKUP(Y18,_general!$A$65:$B$73,2,FALSE)+$AR$4</f>
        <v>55</v>
      </c>
      <c r="AS18" s="326">
        <f t="shared" ca="1" si="59"/>
        <v>5.4430404220184914E-2</v>
      </c>
      <c r="AT18" s="326">
        <f t="shared" ca="1" si="29"/>
        <v>5.0801710605505909E-2</v>
      </c>
      <c r="AU18" s="326">
        <f t="shared" ca="1" si="29"/>
        <v>0.13333333333333333</v>
      </c>
      <c r="AV18" s="326">
        <f t="shared" ca="1" si="29"/>
        <v>0.1</v>
      </c>
      <c r="AW18" s="326">
        <f t="shared" ca="1" si="29"/>
        <v>0</v>
      </c>
      <c r="AX18" s="326">
        <f t="shared" ca="1" si="29"/>
        <v>5.4430404220184914E-2</v>
      </c>
      <c r="AY18" s="326">
        <f t="shared" ca="1" si="29"/>
        <v>0.1142857142857143</v>
      </c>
      <c r="AZ18" s="429"/>
      <c r="BA18" s="427">
        <f t="shared" ca="1" si="89"/>
        <v>0</v>
      </c>
      <c r="BB18" s="427">
        <f t="shared" ca="1" si="92"/>
        <v>0</v>
      </c>
      <c r="BC18" s="427">
        <f t="shared" ca="1" si="93"/>
        <v>0</v>
      </c>
      <c r="BD18" s="427">
        <f t="shared" ca="1" si="94"/>
        <v>0</v>
      </c>
      <c r="BE18" s="427">
        <f t="shared" ca="1" si="95"/>
        <v>0</v>
      </c>
      <c r="BF18" s="427">
        <f t="shared" ca="1" si="96"/>
        <v>0</v>
      </c>
      <c r="BG18" s="427">
        <f t="shared" ca="1" si="97"/>
        <v>0</v>
      </c>
      <c r="BH18" s="434"/>
      <c r="BI18" s="427">
        <f t="shared" si="90"/>
        <v>0</v>
      </c>
      <c r="BJ18" s="427">
        <f t="shared" si="98"/>
        <v>0</v>
      </c>
      <c r="BK18" s="427">
        <f t="shared" si="99"/>
        <v>0</v>
      </c>
      <c r="BL18" s="427">
        <f t="shared" si="100"/>
        <v>0</v>
      </c>
      <c r="BM18" s="427">
        <f t="shared" si="101"/>
        <v>0</v>
      </c>
      <c r="BN18" s="427">
        <f t="shared" si="102"/>
        <v>0</v>
      </c>
      <c r="BO18" s="427">
        <f t="shared" si="103"/>
        <v>0</v>
      </c>
      <c r="BP18" s="428">
        <f t="shared" si="72"/>
        <v>67</v>
      </c>
      <c r="BQ18" s="327">
        <f t="shared" ca="1" si="91"/>
        <v>0</v>
      </c>
      <c r="BR18" s="327">
        <f t="shared" ca="1" si="73"/>
        <v>0</v>
      </c>
      <c r="BS18" s="327">
        <f t="shared" ca="1" si="74"/>
        <v>0</v>
      </c>
      <c r="BT18" s="327">
        <f t="shared" ca="1" si="75"/>
        <v>0</v>
      </c>
      <c r="BU18" s="327">
        <f t="shared" ca="1" si="76"/>
        <v>0</v>
      </c>
      <c r="BV18" s="327">
        <f t="shared" ca="1" si="77"/>
        <v>0</v>
      </c>
      <c r="BW18" s="327">
        <f t="shared" ca="1" si="78"/>
        <v>0</v>
      </c>
      <c r="BY18" s="323" t="str">
        <f t="shared" si="79"/>
        <v>dhw</v>
      </c>
      <c r="BZ18" s="323">
        <f t="shared" ca="1" si="33"/>
        <v>8</v>
      </c>
      <c r="CA18" s="323">
        <f t="shared" ca="1" si="34"/>
        <v>0</v>
      </c>
      <c r="CB18" s="323">
        <f t="shared" ca="1" si="35"/>
        <v>0</v>
      </c>
      <c r="CC18" s="323">
        <f t="shared" ca="1" si="36"/>
        <v>0</v>
      </c>
      <c r="CD18" s="323">
        <f t="shared" ca="1" si="37"/>
        <v>0</v>
      </c>
      <c r="CE18" s="323">
        <f t="shared" ca="1" si="38"/>
        <v>0</v>
      </c>
      <c r="CF18" s="323">
        <f t="shared" ca="1" si="39"/>
        <v>0</v>
      </c>
      <c r="CG18" s="323">
        <f t="shared" ca="1" si="40"/>
        <v>0</v>
      </c>
      <c r="CI18" s="327">
        <f t="shared" ca="1" si="80"/>
        <v>0</v>
      </c>
      <c r="CJ18" s="327">
        <f t="shared" ca="1" si="81"/>
        <v>0</v>
      </c>
      <c r="CK18" s="327">
        <f t="shared" ca="1" si="82"/>
        <v>0</v>
      </c>
      <c r="CL18" s="327">
        <f t="shared" ca="1" si="83"/>
        <v>0</v>
      </c>
      <c r="CM18" s="327">
        <f t="shared" ca="1" si="84"/>
        <v>0</v>
      </c>
      <c r="CN18" s="327">
        <f t="shared" ca="1" si="85"/>
        <v>0</v>
      </c>
      <c r="CO18" s="327">
        <f t="shared" ca="1" si="86"/>
        <v>0</v>
      </c>
      <c r="CP18" s="328">
        <f t="shared" si="87"/>
        <v>67</v>
      </c>
      <c r="CQ18" s="327">
        <f t="shared" ca="1" si="47"/>
        <v>0</v>
      </c>
      <c r="CR18" s="327">
        <f t="shared" ca="1" si="48"/>
        <v>0</v>
      </c>
      <c r="CS18" s="327">
        <f t="shared" ca="1" si="49"/>
        <v>0</v>
      </c>
      <c r="CT18" s="327">
        <f t="shared" ca="1" si="50"/>
        <v>0</v>
      </c>
      <c r="CU18" s="327">
        <f t="shared" ca="1" si="51"/>
        <v>0</v>
      </c>
      <c r="CV18" s="327">
        <f t="shared" ca="1" si="52"/>
        <v>0</v>
      </c>
      <c r="CW18" s="327">
        <f t="shared" ca="1" si="53"/>
        <v>0</v>
      </c>
      <c r="CY18" s="336"/>
      <c r="CZ18" s="336"/>
      <c r="DA18" s="336"/>
      <c r="DB18" s="336"/>
      <c r="DC18" s="336"/>
      <c r="DD18" s="336"/>
      <c r="DE18" s="336"/>
      <c r="DF18" s="417"/>
      <c r="DG18" s="417"/>
    </row>
    <row r="19" spans="1:111" s="329" customFormat="1" ht="58" x14ac:dyDescent="0.35">
      <c r="A19" s="299"/>
      <c r="B19" s="13" t="s">
        <v>148</v>
      </c>
      <c r="C19" s="13" t="s">
        <v>139</v>
      </c>
      <c r="D19" s="13" t="s">
        <v>149</v>
      </c>
      <c r="E19" s="411"/>
      <c r="F19" s="412">
        <v>1</v>
      </c>
      <c r="G19" s="411">
        <v>0</v>
      </c>
      <c r="H19" s="406">
        <f t="shared" si="88"/>
        <v>0</v>
      </c>
      <c r="I19" s="415" t="str">
        <f ca="1">IF(AND(O19=1,OR(E19="",E19&lt;0,E19&gt;W19,AND(H19&gt;0,OR(G19="",G19&lt;0,G19&gt;W19)),F19&gt;1,F19&lt;0)),_general!$A$83,"")</f>
        <v/>
      </c>
      <c r="J19" s="110" t="s">
        <v>141</v>
      </c>
      <c r="K19" s="110" t="s">
        <v>142</v>
      </c>
      <c r="L19" s="110" t="s">
        <v>150</v>
      </c>
      <c r="M19" s="110" t="s">
        <v>151</v>
      </c>
      <c r="N19" s="110"/>
      <c r="O19" s="48">
        <f ca="1">IF(AND(INDIRECT(ADDRESS(VLOOKUP(INDIRECT(ADDRESS(ROW(),25)),_general!$A$85:$B$92,2,),7,,,"Building Information"))="yes",'Building Information'!$G$68=_general!$I$27,'Building Information'!$G$67=_general!$I$24),1,0)</f>
        <v>0</v>
      </c>
      <c r="P19" s="111"/>
      <c r="Q19" s="111"/>
      <c r="R19" s="142" t="s">
        <v>863</v>
      </c>
      <c r="S19" s="142">
        <f>IF(OR('Building Information'!$G$45="yes",AND('Building Information'!$G$45="no",'Building Information'!$I$45=_general!$J$3)),1,0)</f>
        <v>1</v>
      </c>
      <c r="T19" s="142">
        <f t="shared" ca="1" si="24"/>
        <v>0</v>
      </c>
      <c r="U19" s="323">
        <f t="shared" ca="1" si="25"/>
        <v>0</v>
      </c>
      <c r="V19" s="323">
        <f t="shared" ca="1" si="54"/>
        <v>0</v>
      </c>
      <c r="W19" s="323">
        <f t="shared" si="26"/>
        <v>3</v>
      </c>
      <c r="X19" s="323">
        <f t="shared" ca="1" si="55"/>
        <v>0</v>
      </c>
      <c r="Y19" s="323" t="str">
        <f>VLOOKUP($B19,overview_of_services!$B$2:$T$123,$Y$2,FALSE)</f>
        <v>dhw</v>
      </c>
      <c r="Z19" s="323">
        <f t="shared" ca="1" si="56"/>
        <v>22</v>
      </c>
      <c r="AA19" s="323">
        <f t="shared" ca="1" si="113"/>
        <v>0</v>
      </c>
      <c r="AB19" s="323">
        <f t="shared" ca="1" si="113"/>
        <v>0</v>
      </c>
      <c r="AC19" s="323">
        <f t="shared" ca="1" si="113"/>
        <v>0</v>
      </c>
      <c r="AD19" s="323">
        <f t="shared" ca="1" si="113"/>
        <v>0</v>
      </c>
      <c r="AE19" s="323">
        <f t="shared" ca="1" si="113"/>
        <v>0</v>
      </c>
      <c r="AF19" s="323">
        <f t="shared" ca="1" si="113"/>
        <v>0</v>
      </c>
      <c r="AG19" s="323">
        <f t="shared" ca="1" si="113"/>
        <v>0</v>
      </c>
      <c r="AH19" s="323">
        <f t="shared" ca="1" si="57"/>
        <v>22</v>
      </c>
      <c r="AI19" s="323">
        <f t="shared" ca="1" si="58"/>
        <v>0</v>
      </c>
      <c r="AJ19" s="323">
        <f t="shared" ca="1" si="58"/>
        <v>0</v>
      </c>
      <c r="AK19" s="323">
        <f t="shared" ca="1" si="28"/>
        <v>0</v>
      </c>
      <c r="AL19" s="323">
        <f t="shared" ca="1" si="28"/>
        <v>0</v>
      </c>
      <c r="AM19" s="323">
        <f t="shared" ca="1" si="28"/>
        <v>0</v>
      </c>
      <c r="AN19" s="323">
        <f t="shared" ca="1" si="28"/>
        <v>0</v>
      </c>
      <c r="AO19" s="323">
        <f t="shared" ca="1" si="28"/>
        <v>0</v>
      </c>
      <c r="AP19" s="324"/>
      <c r="AQ19" s="324" t="s">
        <v>973</v>
      </c>
      <c r="AR19" s="325">
        <f>VLOOKUP(Y19,_general!$A$65:$B$73,2,FALSE)+$AR$4</f>
        <v>55</v>
      </c>
      <c r="AS19" s="326">
        <f t="shared" ca="1" si="59"/>
        <v>5.4430404220184914E-2</v>
      </c>
      <c r="AT19" s="326">
        <f t="shared" ca="1" si="29"/>
        <v>5.0801710605505909E-2</v>
      </c>
      <c r="AU19" s="326">
        <f t="shared" ca="1" si="29"/>
        <v>0.13333333333333333</v>
      </c>
      <c r="AV19" s="326">
        <f t="shared" ca="1" si="29"/>
        <v>0.1</v>
      </c>
      <c r="AW19" s="326">
        <f t="shared" ca="1" si="29"/>
        <v>0</v>
      </c>
      <c r="AX19" s="326">
        <f t="shared" ca="1" si="29"/>
        <v>5.4430404220184914E-2</v>
      </c>
      <c r="AY19" s="326">
        <f t="shared" ca="1" si="29"/>
        <v>0.1142857142857143</v>
      </c>
      <c r="AZ19" s="429"/>
      <c r="BA19" s="427">
        <f t="shared" ca="1" si="89"/>
        <v>0</v>
      </c>
      <c r="BB19" s="427">
        <f t="shared" ca="1" si="92"/>
        <v>0</v>
      </c>
      <c r="BC19" s="427">
        <f t="shared" ca="1" si="93"/>
        <v>0</v>
      </c>
      <c r="BD19" s="427">
        <f t="shared" ca="1" si="94"/>
        <v>0</v>
      </c>
      <c r="BE19" s="427">
        <f t="shared" ca="1" si="95"/>
        <v>0</v>
      </c>
      <c r="BF19" s="427">
        <f t="shared" ca="1" si="96"/>
        <v>0</v>
      </c>
      <c r="BG19" s="427">
        <f t="shared" ca="1" si="97"/>
        <v>0</v>
      </c>
      <c r="BH19" s="434"/>
      <c r="BI19" s="427">
        <f t="shared" si="90"/>
        <v>0</v>
      </c>
      <c r="BJ19" s="427">
        <f t="shared" si="98"/>
        <v>0</v>
      </c>
      <c r="BK19" s="427">
        <f t="shared" si="99"/>
        <v>0</v>
      </c>
      <c r="BL19" s="427">
        <f t="shared" si="100"/>
        <v>0</v>
      </c>
      <c r="BM19" s="427">
        <f t="shared" si="101"/>
        <v>0</v>
      </c>
      <c r="BN19" s="427">
        <f t="shared" si="102"/>
        <v>0</v>
      </c>
      <c r="BO19" s="427">
        <f t="shared" si="103"/>
        <v>0</v>
      </c>
      <c r="BP19" s="428">
        <f t="shared" si="72"/>
        <v>67</v>
      </c>
      <c r="BQ19" s="327">
        <f t="shared" ca="1" si="91"/>
        <v>0</v>
      </c>
      <c r="BR19" s="327">
        <f t="shared" ca="1" si="73"/>
        <v>0</v>
      </c>
      <c r="BS19" s="327">
        <f t="shared" ca="1" si="74"/>
        <v>0</v>
      </c>
      <c r="BT19" s="327">
        <f t="shared" ca="1" si="75"/>
        <v>0</v>
      </c>
      <c r="BU19" s="327">
        <f t="shared" ca="1" si="76"/>
        <v>0</v>
      </c>
      <c r="BV19" s="327">
        <f t="shared" ca="1" si="77"/>
        <v>0</v>
      </c>
      <c r="BW19" s="327">
        <f t="shared" ca="1" si="78"/>
        <v>0</v>
      </c>
      <c r="BY19" s="323" t="str">
        <f t="shared" si="79"/>
        <v>dhw</v>
      </c>
      <c r="BZ19" s="323">
        <f t="shared" ca="1" si="33"/>
        <v>22</v>
      </c>
      <c r="CA19" s="323">
        <f t="shared" ca="1" si="34"/>
        <v>0</v>
      </c>
      <c r="CB19" s="323">
        <f t="shared" ca="1" si="35"/>
        <v>0</v>
      </c>
      <c r="CC19" s="323">
        <f t="shared" ca="1" si="36"/>
        <v>0</v>
      </c>
      <c r="CD19" s="323">
        <f t="shared" ca="1" si="37"/>
        <v>0</v>
      </c>
      <c r="CE19" s="323">
        <f t="shared" ca="1" si="38"/>
        <v>0</v>
      </c>
      <c r="CF19" s="323">
        <f t="shared" ca="1" si="39"/>
        <v>0</v>
      </c>
      <c r="CG19" s="323">
        <f t="shared" ca="1" si="40"/>
        <v>0</v>
      </c>
      <c r="CI19" s="327">
        <f t="shared" ca="1" si="80"/>
        <v>0</v>
      </c>
      <c r="CJ19" s="327">
        <f t="shared" ca="1" si="81"/>
        <v>0</v>
      </c>
      <c r="CK19" s="327">
        <f t="shared" ca="1" si="82"/>
        <v>0</v>
      </c>
      <c r="CL19" s="327">
        <f t="shared" ca="1" si="83"/>
        <v>0</v>
      </c>
      <c r="CM19" s="327">
        <f t="shared" ca="1" si="84"/>
        <v>0</v>
      </c>
      <c r="CN19" s="327">
        <f t="shared" ca="1" si="85"/>
        <v>0</v>
      </c>
      <c r="CO19" s="327">
        <f t="shared" ca="1" si="86"/>
        <v>0</v>
      </c>
      <c r="CP19" s="328">
        <f t="shared" si="87"/>
        <v>67</v>
      </c>
      <c r="CQ19" s="327">
        <f t="shared" ca="1" si="47"/>
        <v>0</v>
      </c>
      <c r="CR19" s="327">
        <f t="shared" ca="1" si="48"/>
        <v>0</v>
      </c>
      <c r="CS19" s="327">
        <f t="shared" ca="1" si="49"/>
        <v>0</v>
      </c>
      <c r="CT19" s="327">
        <f t="shared" ca="1" si="50"/>
        <v>0</v>
      </c>
      <c r="CU19" s="327">
        <f t="shared" ca="1" si="51"/>
        <v>0</v>
      </c>
      <c r="CV19" s="327">
        <f t="shared" ca="1" si="52"/>
        <v>0</v>
      </c>
      <c r="CW19" s="327">
        <f t="shared" ca="1" si="53"/>
        <v>0</v>
      </c>
      <c r="DF19" s="417"/>
      <c r="DG19" s="417"/>
    </row>
    <row r="20" spans="1:111" s="329" customFormat="1" ht="87" x14ac:dyDescent="0.35">
      <c r="A20" s="300" t="s">
        <v>137</v>
      </c>
      <c r="B20" s="13" t="s">
        <v>162</v>
      </c>
      <c r="C20" s="13" t="s">
        <v>139</v>
      </c>
      <c r="D20" s="13" t="s">
        <v>163</v>
      </c>
      <c r="E20" s="411"/>
      <c r="F20" s="412">
        <v>1</v>
      </c>
      <c r="G20" s="411">
        <v>0</v>
      </c>
      <c r="H20" s="406">
        <f t="shared" si="88"/>
        <v>0</v>
      </c>
      <c r="I20" s="415" t="str">
        <f ca="1">IF(AND(O20=1,OR(E20="",E20&lt;0,E20&gt;W20,AND(H20&gt;0,OR(G20="",G20&lt;0,G20&gt;W20)),F20&gt;1,F20&lt;0)),_general!$A$83,"")</f>
        <v/>
      </c>
      <c r="J20" s="110" t="s">
        <v>164</v>
      </c>
      <c r="K20" s="110" t="s">
        <v>165</v>
      </c>
      <c r="L20" s="110" t="s">
        <v>166</v>
      </c>
      <c r="M20" s="110" t="s">
        <v>167</v>
      </c>
      <c r="N20" s="110"/>
      <c r="O20" s="48">
        <f ca="1">IF(AND(INDIRECT(ADDRESS(VLOOKUP(INDIRECT(ADDRESS(ROW(),25)),_general!$A$85:$B$92,2,),7,,,"Building Information"))="yes",'Building Information'!G68=_general!I27,'Building Information'!G69=_general!I30),1,0)</f>
        <v>0</v>
      </c>
      <c r="P20" s="111"/>
      <c r="Q20" s="111"/>
      <c r="R20" s="142" t="s">
        <v>863</v>
      </c>
      <c r="S20" s="142">
        <f>IF(OR('Building Information'!$G$45="yes",AND('Building Information'!$G$45="no",'Building Information'!$I$45=_general!$J$3)),1,0)</f>
        <v>1</v>
      </c>
      <c r="T20" s="142">
        <f t="shared" ca="1" si="24"/>
        <v>0</v>
      </c>
      <c r="U20" s="323">
        <f t="shared" ca="1" si="25"/>
        <v>0</v>
      </c>
      <c r="V20" s="323">
        <f t="shared" ca="1" si="54"/>
        <v>0</v>
      </c>
      <c r="W20" s="323">
        <f t="shared" si="26"/>
        <v>3</v>
      </c>
      <c r="X20" s="323">
        <f t="shared" ca="1" si="55"/>
        <v>0</v>
      </c>
      <c r="Y20" s="323" t="str">
        <f>VLOOKUP($B20,overview_of_services!$B$2:$T$123,$Y$2,FALSE)</f>
        <v>dhw</v>
      </c>
      <c r="Z20" s="323">
        <f t="shared" ca="1" si="56"/>
        <v>50</v>
      </c>
      <c r="AA20" s="323">
        <f t="shared" ca="1" si="113"/>
        <v>0</v>
      </c>
      <c r="AB20" s="323">
        <f t="shared" ca="1" si="113"/>
        <v>0</v>
      </c>
      <c r="AC20" s="323">
        <f t="shared" ca="1" si="113"/>
        <v>0</v>
      </c>
      <c r="AD20" s="323">
        <f t="shared" ca="1" si="113"/>
        <v>0</v>
      </c>
      <c r="AE20" s="323">
        <f t="shared" ca="1" si="113"/>
        <v>0</v>
      </c>
      <c r="AF20" s="323">
        <f t="shared" ca="1" si="113"/>
        <v>0</v>
      </c>
      <c r="AG20" s="323">
        <f t="shared" ca="1" si="113"/>
        <v>0</v>
      </c>
      <c r="AH20" s="323">
        <f t="shared" ca="1" si="57"/>
        <v>50</v>
      </c>
      <c r="AI20" s="323">
        <f t="shared" ca="1" si="58"/>
        <v>0</v>
      </c>
      <c r="AJ20" s="323">
        <f t="shared" ca="1" si="58"/>
        <v>0</v>
      </c>
      <c r="AK20" s="323">
        <f t="shared" ca="1" si="28"/>
        <v>0</v>
      </c>
      <c r="AL20" s="323">
        <f t="shared" ca="1" si="28"/>
        <v>0</v>
      </c>
      <c r="AM20" s="323">
        <f t="shared" ca="1" si="28"/>
        <v>0</v>
      </c>
      <c r="AN20" s="323">
        <f t="shared" ca="1" si="28"/>
        <v>0</v>
      </c>
      <c r="AO20" s="323">
        <f t="shared" ca="1" si="28"/>
        <v>0</v>
      </c>
      <c r="AP20" s="324"/>
      <c r="AQ20" s="324" t="s">
        <v>973</v>
      </c>
      <c r="AR20" s="325">
        <f>VLOOKUP(Y20,_general!$A$65:$B$73,2,FALSE)+$AR$4</f>
        <v>55</v>
      </c>
      <c r="AS20" s="326">
        <f t="shared" ca="1" si="59"/>
        <v>5.4430404220184914E-2</v>
      </c>
      <c r="AT20" s="326">
        <f t="shared" ca="1" si="29"/>
        <v>5.0801710605505909E-2</v>
      </c>
      <c r="AU20" s="326">
        <f t="shared" ca="1" si="29"/>
        <v>0.13333333333333333</v>
      </c>
      <c r="AV20" s="326">
        <f t="shared" ca="1" si="29"/>
        <v>0.1</v>
      </c>
      <c r="AW20" s="326">
        <f t="shared" ca="1" si="29"/>
        <v>0</v>
      </c>
      <c r="AX20" s="326">
        <f t="shared" ca="1" si="29"/>
        <v>5.4430404220184914E-2</v>
      </c>
      <c r="AY20" s="326">
        <f t="shared" ca="1" si="29"/>
        <v>0.1142857142857143</v>
      </c>
      <c r="AZ20" s="429"/>
      <c r="BA20" s="427">
        <f t="shared" ca="1" si="89"/>
        <v>0</v>
      </c>
      <c r="BB20" s="427">
        <f t="shared" ca="1" si="92"/>
        <v>0</v>
      </c>
      <c r="BC20" s="427">
        <f t="shared" ca="1" si="93"/>
        <v>0</v>
      </c>
      <c r="BD20" s="427">
        <f t="shared" ca="1" si="94"/>
        <v>0</v>
      </c>
      <c r="BE20" s="427">
        <f t="shared" ca="1" si="95"/>
        <v>0</v>
      </c>
      <c r="BF20" s="427">
        <f t="shared" ca="1" si="96"/>
        <v>0</v>
      </c>
      <c r="BG20" s="427">
        <f t="shared" ca="1" si="97"/>
        <v>0</v>
      </c>
      <c r="BH20" s="434"/>
      <c r="BI20" s="427">
        <f t="shared" si="90"/>
        <v>0</v>
      </c>
      <c r="BJ20" s="427">
        <f t="shared" si="98"/>
        <v>0</v>
      </c>
      <c r="BK20" s="427">
        <f t="shared" si="99"/>
        <v>0</v>
      </c>
      <c r="BL20" s="427">
        <f t="shared" si="100"/>
        <v>0</v>
      </c>
      <c r="BM20" s="427">
        <f t="shared" si="101"/>
        <v>0</v>
      </c>
      <c r="BN20" s="427">
        <f t="shared" si="102"/>
        <v>0</v>
      </c>
      <c r="BO20" s="427">
        <f t="shared" si="103"/>
        <v>0</v>
      </c>
      <c r="BP20" s="428">
        <f t="shared" si="72"/>
        <v>67</v>
      </c>
      <c r="BQ20" s="327">
        <f t="shared" ca="1" si="91"/>
        <v>0</v>
      </c>
      <c r="BR20" s="327">
        <f t="shared" ca="1" si="73"/>
        <v>0</v>
      </c>
      <c r="BS20" s="327">
        <f t="shared" ca="1" si="74"/>
        <v>0</v>
      </c>
      <c r="BT20" s="327">
        <f t="shared" ca="1" si="75"/>
        <v>0</v>
      </c>
      <c r="BU20" s="327">
        <f t="shared" ca="1" si="76"/>
        <v>0</v>
      </c>
      <c r="BV20" s="327">
        <f t="shared" ca="1" si="77"/>
        <v>0</v>
      </c>
      <c r="BW20" s="327">
        <f t="shared" ca="1" si="78"/>
        <v>0</v>
      </c>
      <c r="BY20" s="323" t="str">
        <f t="shared" si="79"/>
        <v>dhw</v>
      </c>
      <c r="BZ20" s="323">
        <f t="shared" ca="1" si="33"/>
        <v>50</v>
      </c>
      <c r="CA20" s="323">
        <f t="shared" ca="1" si="34"/>
        <v>0</v>
      </c>
      <c r="CB20" s="323">
        <f t="shared" ca="1" si="35"/>
        <v>0</v>
      </c>
      <c r="CC20" s="323">
        <f t="shared" ca="1" si="36"/>
        <v>0</v>
      </c>
      <c r="CD20" s="323">
        <f t="shared" ca="1" si="37"/>
        <v>0</v>
      </c>
      <c r="CE20" s="323">
        <f t="shared" ca="1" si="38"/>
        <v>0</v>
      </c>
      <c r="CF20" s="323">
        <f t="shared" ca="1" si="39"/>
        <v>0</v>
      </c>
      <c r="CG20" s="323">
        <f t="shared" ca="1" si="40"/>
        <v>0</v>
      </c>
      <c r="CI20" s="327">
        <f t="shared" ca="1" si="80"/>
        <v>0</v>
      </c>
      <c r="CJ20" s="327">
        <f t="shared" ca="1" si="81"/>
        <v>0</v>
      </c>
      <c r="CK20" s="327">
        <f t="shared" ca="1" si="82"/>
        <v>0</v>
      </c>
      <c r="CL20" s="327">
        <f t="shared" ca="1" si="83"/>
        <v>0</v>
      </c>
      <c r="CM20" s="327">
        <f t="shared" ca="1" si="84"/>
        <v>0</v>
      </c>
      <c r="CN20" s="327">
        <f t="shared" ca="1" si="85"/>
        <v>0</v>
      </c>
      <c r="CO20" s="327">
        <f t="shared" ca="1" si="86"/>
        <v>0</v>
      </c>
      <c r="CP20" s="328">
        <f t="shared" si="87"/>
        <v>67</v>
      </c>
      <c r="CQ20" s="327">
        <f t="shared" ca="1" si="47"/>
        <v>0</v>
      </c>
      <c r="CR20" s="327">
        <f t="shared" ca="1" si="48"/>
        <v>0</v>
      </c>
      <c r="CS20" s="327">
        <f t="shared" ca="1" si="49"/>
        <v>0</v>
      </c>
      <c r="CT20" s="327">
        <f t="shared" ca="1" si="50"/>
        <v>0</v>
      </c>
      <c r="CU20" s="327">
        <f t="shared" ca="1" si="51"/>
        <v>0</v>
      </c>
      <c r="CV20" s="327">
        <f t="shared" ca="1" si="52"/>
        <v>0</v>
      </c>
      <c r="CW20" s="327">
        <f t="shared" ca="1" si="53"/>
        <v>0</v>
      </c>
      <c r="CY20" s="332"/>
      <c r="CZ20" s="332"/>
      <c r="DA20" s="332"/>
      <c r="DB20" s="332"/>
      <c r="DC20" s="332"/>
      <c r="DD20" s="332"/>
      <c r="DE20" s="332"/>
      <c r="DF20" s="417"/>
      <c r="DG20" s="417"/>
    </row>
    <row r="21" spans="1:111" s="329" customFormat="1" ht="58" x14ac:dyDescent="0.35">
      <c r="A21" s="300" t="s">
        <v>137</v>
      </c>
      <c r="B21" s="13" t="s">
        <v>178</v>
      </c>
      <c r="C21" s="13" t="s">
        <v>125</v>
      </c>
      <c r="D21" s="13" t="s">
        <v>179</v>
      </c>
      <c r="E21" s="411">
        <v>1</v>
      </c>
      <c r="F21" s="412">
        <v>1</v>
      </c>
      <c r="G21" s="411">
        <v>0</v>
      </c>
      <c r="H21" s="406">
        <f t="shared" si="88"/>
        <v>0</v>
      </c>
      <c r="I21" s="415" t="str">
        <f ca="1">IF(AND(O21=1,OR(E21="",E21&lt;0,E21&gt;W21,AND(H21&gt;0,OR(G21="",G21&lt;0,G21&gt;W21)),F21&gt;1,F21&lt;0)),_general!$A$83,"")</f>
        <v/>
      </c>
      <c r="J21" s="110" t="s">
        <v>81</v>
      </c>
      <c r="K21" s="110" t="s">
        <v>127</v>
      </c>
      <c r="L21" s="110" t="s">
        <v>128</v>
      </c>
      <c r="M21" s="110" t="s">
        <v>129</v>
      </c>
      <c r="N21" s="110" t="s">
        <v>130</v>
      </c>
      <c r="O21" s="48">
        <f ca="1">IF(INDIRECT(ADDRESS(VLOOKUP(INDIRECT(ADDRESS(ROW(),25)),_general!$A$85:$B$92,2,),7,,,"Building Information"))="yes",1,0)</f>
        <v>1</v>
      </c>
      <c r="P21" s="111"/>
      <c r="Q21" s="111"/>
      <c r="R21" s="142" t="s">
        <v>978</v>
      </c>
      <c r="S21" s="142">
        <f>IF(OR('Building Information'!$G$45="yes",AND('Building Information'!$G$45="no",'Building Information'!$I$45=_general!$J$3)),1,0)</f>
        <v>1</v>
      </c>
      <c r="T21" s="142">
        <f t="shared" ca="1" si="24"/>
        <v>1</v>
      </c>
      <c r="U21" s="323">
        <f t="shared" ca="1" si="25"/>
        <v>1</v>
      </c>
      <c r="V21" s="323">
        <f t="shared" ca="1" si="54"/>
        <v>0</v>
      </c>
      <c r="W21" s="323">
        <f t="shared" si="26"/>
        <v>4</v>
      </c>
      <c r="X21" s="323">
        <f t="shared" ca="1" si="55"/>
        <v>4</v>
      </c>
      <c r="Y21" s="323" t="str">
        <f>VLOOKUP($B21,overview_of_services!$B$2:$T$123,$Y$2,FALSE)</f>
        <v>dhw</v>
      </c>
      <c r="Z21" s="323">
        <f t="shared" ca="1" si="56"/>
        <v>79</v>
      </c>
      <c r="AA21" s="323">
        <f t="shared" ca="1" si="113"/>
        <v>1</v>
      </c>
      <c r="AB21" s="323">
        <f t="shared" ca="1" si="113"/>
        <v>0</v>
      </c>
      <c r="AC21" s="323">
        <f t="shared" ca="1" si="113"/>
        <v>0</v>
      </c>
      <c r="AD21" s="323">
        <f t="shared" ca="1" si="113"/>
        <v>0</v>
      </c>
      <c r="AE21" s="323">
        <f t="shared" ca="1" si="113"/>
        <v>0</v>
      </c>
      <c r="AF21" s="323">
        <f t="shared" ca="1" si="113"/>
        <v>1</v>
      </c>
      <c r="AG21" s="323">
        <f t="shared" ca="1" si="113"/>
        <v>1</v>
      </c>
      <c r="AH21" s="323">
        <f t="shared" ca="1" si="57"/>
        <v>78</v>
      </c>
      <c r="AI21" s="323">
        <f t="shared" ca="1" si="58"/>
        <v>0</v>
      </c>
      <c r="AJ21" s="323">
        <f t="shared" ca="1" si="58"/>
        <v>0</v>
      </c>
      <c r="AK21" s="323">
        <f t="shared" ca="1" si="28"/>
        <v>0</v>
      </c>
      <c r="AL21" s="323">
        <f t="shared" ca="1" si="28"/>
        <v>0</v>
      </c>
      <c r="AM21" s="323">
        <f t="shared" ca="1" si="28"/>
        <v>0</v>
      </c>
      <c r="AN21" s="323">
        <f t="shared" ca="1" si="28"/>
        <v>0</v>
      </c>
      <c r="AO21" s="323">
        <f t="shared" ca="1" si="28"/>
        <v>0</v>
      </c>
      <c r="AP21" s="324"/>
      <c r="AQ21" s="324" t="s">
        <v>973</v>
      </c>
      <c r="AR21" s="325">
        <f>VLOOKUP(Y21,_general!$A$65:$B$73,2,FALSE)+$AR$4</f>
        <v>55</v>
      </c>
      <c r="AS21" s="326">
        <f t="shared" ca="1" si="59"/>
        <v>5.4430404220184914E-2</v>
      </c>
      <c r="AT21" s="326">
        <f t="shared" ca="1" si="29"/>
        <v>5.0801710605505909E-2</v>
      </c>
      <c r="AU21" s="326">
        <f t="shared" ca="1" si="29"/>
        <v>0.13333333333333333</v>
      </c>
      <c r="AV21" s="326">
        <f t="shared" ca="1" si="29"/>
        <v>0.1</v>
      </c>
      <c r="AW21" s="326">
        <f t="shared" ca="1" si="29"/>
        <v>0</v>
      </c>
      <c r="AX21" s="326">
        <f t="shared" ca="1" si="29"/>
        <v>5.4430404220184914E-2</v>
      </c>
      <c r="AY21" s="326">
        <f t="shared" ca="1" si="29"/>
        <v>0.1142857142857143</v>
      </c>
      <c r="AZ21" s="429"/>
      <c r="BA21" s="427">
        <f t="shared" ca="1" si="89"/>
        <v>5.4430404220184914E-2</v>
      </c>
      <c r="BB21" s="427">
        <f t="shared" ca="1" si="92"/>
        <v>0</v>
      </c>
      <c r="BC21" s="427">
        <f t="shared" ca="1" si="93"/>
        <v>0</v>
      </c>
      <c r="BD21" s="427">
        <f t="shared" ca="1" si="94"/>
        <v>0</v>
      </c>
      <c r="BE21" s="427">
        <f t="shared" ca="1" si="95"/>
        <v>0</v>
      </c>
      <c r="BF21" s="427">
        <f t="shared" ca="1" si="96"/>
        <v>5.4430404220184914E-2</v>
      </c>
      <c r="BG21" s="427">
        <f t="shared" ca="1" si="97"/>
        <v>0.1142857142857143</v>
      </c>
      <c r="BH21" s="434"/>
      <c r="BI21" s="427">
        <f t="shared" si="90"/>
        <v>0</v>
      </c>
      <c r="BJ21" s="427">
        <f t="shared" si="98"/>
        <v>0</v>
      </c>
      <c r="BK21" s="427">
        <f t="shared" si="99"/>
        <v>0</v>
      </c>
      <c r="BL21" s="427">
        <f t="shared" si="100"/>
        <v>0</v>
      </c>
      <c r="BM21" s="427">
        <f t="shared" si="101"/>
        <v>0</v>
      </c>
      <c r="BN21" s="427">
        <f t="shared" si="102"/>
        <v>0</v>
      </c>
      <c r="BO21" s="427">
        <f t="shared" si="103"/>
        <v>0</v>
      </c>
      <c r="BP21" s="428">
        <f t="shared" si="72"/>
        <v>67</v>
      </c>
      <c r="BQ21" s="327">
        <f t="shared" ca="1" si="91"/>
        <v>9.071734036697485E-3</v>
      </c>
      <c r="BR21" s="327">
        <f t="shared" ca="1" si="73"/>
        <v>0</v>
      </c>
      <c r="BS21" s="327">
        <f t="shared" ca="1" si="74"/>
        <v>0</v>
      </c>
      <c r="BT21" s="327">
        <f t="shared" ca="1" si="75"/>
        <v>0</v>
      </c>
      <c r="BU21" s="327">
        <f t="shared" ca="1" si="76"/>
        <v>0</v>
      </c>
      <c r="BV21" s="327">
        <f t="shared" ca="1" si="77"/>
        <v>9.071734036697485E-3</v>
      </c>
      <c r="BW21" s="327">
        <f t="shared" ca="1" si="78"/>
        <v>9.5238095238095247E-3</v>
      </c>
      <c r="BY21" s="323" t="str">
        <f t="shared" si="79"/>
        <v>dhw</v>
      </c>
      <c r="BZ21" s="323">
        <f t="shared" ca="1" si="33"/>
        <v>82</v>
      </c>
      <c r="CA21" s="323">
        <f t="shared" ca="1" si="34"/>
        <v>1</v>
      </c>
      <c r="CB21" s="323">
        <f t="shared" ca="1" si="35"/>
        <v>0</v>
      </c>
      <c r="CC21" s="323">
        <f t="shared" ca="1" si="36"/>
        <v>0</v>
      </c>
      <c r="CD21" s="323">
        <f t="shared" ca="1" si="37"/>
        <v>1</v>
      </c>
      <c r="CE21" s="323">
        <f t="shared" ca="1" si="38"/>
        <v>0</v>
      </c>
      <c r="CF21" s="323">
        <f t="shared" ca="1" si="39"/>
        <v>2</v>
      </c>
      <c r="CG21" s="323">
        <f t="shared" ca="1" si="40"/>
        <v>3</v>
      </c>
      <c r="CI21" s="327">
        <f t="shared" ca="1" si="80"/>
        <v>5.4430404220184914E-2</v>
      </c>
      <c r="CJ21" s="327">
        <f t="shared" ca="1" si="81"/>
        <v>0</v>
      </c>
      <c r="CK21" s="327">
        <f t="shared" ca="1" si="82"/>
        <v>0</v>
      </c>
      <c r="CL21" s="327">
        <f t="shared" ca="1" si="83"/>
        <v>0.1</v>
      </c>
      <c r="CM21" s="327">
        <f t="shared" ca="1" si="84"/>
        <v>0</v>
      </c>
      <c r="CN21" s="327">
        <f t="shared" ca="1" si="85"/>
        <v>0.10886080844036983</v>
      </c>
      <c r="CO21" s="327">
        <f t="shared" ca="1" si="86"/>
        <v>0.34285714285714286</v>
      </c>
      <c r="CP21" s="328">
        <f t="shared" si="87"/>
        <v>67</v>
      </c>
      <c r="CQ21" s="327">
        <f t="shared" ca="1" si="47"/>
        <v>9.071734036697485E-3</v>
      </c>
      <c r="CR21" s="327">
        <f t="shared" ca="1" si="48"/>
        <v>0</v>
      </c>
      <c r="CS21" s="327">
        <f t="shared" ca="1" si="49"/>
        <v>0</v>
      </c>
      <c r="CT21" s="327">
        <f t="shared" ca="1" si="50"/>
        <v>8.3333333333333332E-3</v>
      </c>
      <c r="CU21" s="327">
        <f t="shared" ca="1" si="51"/>
        <v>0</v>
      </c>
      <c r="CV21" s="327">
        <f t="shared" ca="1" si="52"/>
        <v>1.814346807339497E-2</v>
      </c>
      <c r="CW21" s="327">
        <f t="shared" ca="1" si="53"/>
        <v>2.8571428571428571E-2</v>
      </c>
      <c r="CY21" s="332"/>
      <c r="CZ21" s="332"/>
      <c r="DA21" s="332"/>
      <c r="DB21" s="332"/>
      <c r="DC21" s="332"/>
      <c r="DD21" s="332"/>
      <c r="DE21" s="332"/>
      <c r="DF21" s="417"/>
      <c r="DG21" s="417"/>
    </row>
    <row r="22" spans="1:111" s="329" customFormat="1" ht="43.5" x14ac:dyDescent="0.35">
      <c r="A22" s="300" t="s">
        <v>137</v>
      </c>
      <c r="B22" s="15" t="s">
        <v>183</v>
      </c>
      <c r="C22" s="15" t="s">
        <v>184</v>
      </c>
      <c r="D22" s="15" t="s">
        <v>185</v>
      </c>
      <c r="E22" s="411">
        <v>4</v>
      </c>
      <c r="F22" s="412">
        <v>1</v>
      </c>
      <c r="G22" s="411">
        <v>0</v>
      </c>
      <c r="H22" s="406">
        <f t="shared" si="88"/>
        <v>0</v>
      </c>
      <c r="I22" s="415" t="str">
        <f ca="1">IF(AND(O22=1,OR(E22="",E22&lt;0,E22&gt;W22,AND(H22&gt;0,OR(G22="",G22&lt;0,G22&gt;W22)),F22&gt;1,F22&lt;0)),_general!$A$83,"")</f>
        <v/>
      </c>
      <c r="J22" s="110" t="s">
        <v>25</v>
      </c>
      <c r="K22" s="110" t="s">
        <v>40</v>
      </c>
      <c r="L22" s="110" t="s">
        <v>186</v>
      </c>
      <c r="M22" s="110" t="s">
        <v>28</v>
      </c>
      <c r="N22" s="110" t="s">
        <v>29</v>
      </c>
      <c r="O22" s="48">
        <f ca="1">IF(AND(INDIRECT(ADDRESS(VLOOKUP(INDIRECT(ADDRESS(ROW(),25)),_general!$A$85:$B$92,2,),7,,,"Building Information"))="yes",NOT('Building Information'!$G$75=_general!$I$34)),1,0)</f>
        <v>1</v>
      </c>
      <c r="P22" s="111"/>
      <c r="Q22" s="111"/>
      <c r="R22" s="142" t="s">
        <v>863</v>
      </c>
      <c r="S22" s="142">
        <f>IF(OR('Building Information'!$G$46="yes",AND('Building Information'!$G$46="no",'Building Information'!$I$46=_general!$J$3)),1,0)</f>
        <v>1</v>
      </c>
      <c r="T22" s="142">
        <f t="shared" ca="1" si="24"/>
        <v>1</v>
      </c>
      <c r="U22" s="323">
        <f t="shared" ca="1" si="25"/>
        <v>4</v>
      </c>
      <c r="V22" s="323">
        <f t="shared" ca="1" si="54"/>
        <v>0</v>
      </c>
      <c r="W22" s="323">
        <f t="shared" si="26"/>
        <v>4</v>
      </c>
      <c r="X22" s="323">
        <f t="shared" ca="1" si="55"/>
        <v>4</v>
      </c>
      <c r="Y22" s="323" t="str">
        <f>VLOOKUP($B22,overview_of_services!$B$2:$T$123,$Y$2,FALSE)</f>
        <v>cooling</v>
      </c>
      <c r="Z22" s="323">
        <f t="shared" ca="1" si="56"/>
        <v>12</v>
      </c>
      <c r="AA22" s="323">
        <f t="shared" ca="1" si="113"/>
        <v>3</v>
      </c>
      <c r="AB22" s="323">
        <f t="shared" ca="1" si="113"/>
        <v>0</v>
      </c>
      <c r="AC22" s="323">
        <f t="shared" ca="1" si="113"/>
        <v>2</v>
      </c>
      <c r="AD22" s="323">
        <f t="shared" ca="1" si="113"/>
        <v>3</v>
      </c>
      <c r="AE22" s="323">
        <f t="shared" ca="1" si="113"/>
        <v>0</v>
      </c>
      <c r="AF22" s="323">
        <f t="shared" ca="1" si="113"/>
        <v>1</v>
      </c>
      <c r="AG22" s="323">
        <f t="shared" ca="1" si="113"/>
        <v>0</v>
      </c>
      <c r="AH22" s="323">
        <f t="shared" ca="1" si="57"/>
        <v>8</v>
      </c>
      <c r="AI22" s="323">
        <f t="shared" ca="1" si="58"/>
        <v>0</v>
      </c>
      <c r="AJ22" s="323">
        <f t="shared" ca="1" si="58"/>
        <v>0</v>
      </c>
      <c r="AK22" s="323">
        <f t="shared" ca="1" si="58"/>
        <v>0</v>
      </c>
      <c r="AL22" s="323">
        <f t="shared" ca="1" si="58"/>
        <v>0</v>
      </c>
      <c r="AM22" s="323">
        <f t="shared" ca="1" si="58"/>
        <v>0</v>
      </c>
      <c r="AN22" s="323">
        <f t="shared" ca="1" si="58"/>
        <v>0</v>
      </c>
      <c r="AO22" s="323">
        <f t="shared" ca="1" si="58"/>
        <v>0</v>
      </c>
      <c r="AP22" s="324"/>
      <c r="AQ22" s="324" t="s">
        <v>973</v>
      </c>
      <c r="AR22" s="325">
        <f>VLOOKUP(Y22,_general!$A$65:$B$73,2,FALSE)+$AR$4</f>
        <v>56</v>
      </c>
      <c r="AS22" s="326">
        <f t="shared" ca="1" si="59"/>
        <v>9.3403132610521883E-2</v>
      </c>
      <c r="AT22" s="326">
        <f t="shared" ca="1" si="59"/>
        <v>8.7176257103153743E-2</v>
      </c>
      <c r="AU22" s="326">
        <f t="shared" ca="1" si="59"/>
        <v>0.13333333333333333</v>
      </c>
      <c r="AV22" s="326">
        <f t="shared" ca="1" si="59"/>
        <v>0.1</v>
      </c>
      <c r="AW22" s="326">
        <f t="shared" ca="1" si="59"/>
        <v>0</v>
      </c>
      <c r="AX22" s="326">
        <f t="shared" ca="1" si="59"/>
        <v>9.3403132610521883E-2</v>
      </c>
      <c r="AY22" s="326">
        <f t="shared" ca="1" si="59"/>
        <v>0.1142857142857143</v>
      </c>
      <c r="AZ22" s="429"/>
      <c r="BA22" s="427">
        <f t="shared" ca="1" si="89"/>
        <v>0.28020939783156562</v>
      </c>
      <c r="BB22" s="427">
        <f t="shared" ca="1" si="92"/>
        <v>0</v>
      </c>
      <c r="BC22" s="427">
        <f t="shared" ca="1" si="93"/>
        <v>0.26666666666666666</v>
      </c>
      <c r="BD22" s="427">
        <f t="shared" ca="1" si="94"/>
        <v>0.30000000000000004</v>
      </c>
      <c r="BE22" s="427">
        <f t="shared" ca="1" si="95"/>
        <v>0</v>
      </c>
      <c r="BF22" s="427">
        <f t="shared" ca="1" si="96"/>
        <v>9.3403132610521883E-2</v>
      </c>
      <c r="BG22" s="427">
        <f t="shared" ca="1" si="97"/>
        <v>0</v>
      </c>
      <c r="BH22" s="434"/>
      <c r="BI22" s="427">
        <f t="shared" si="90"/>
        <v>0</v>
      </c>
      <c r="BJ22" s="427">
        <f t="shared" si="98"/>
        <v>0</v>
      </c>
      <c r="BK22" s="427">
        <f t="shared" si="99"/>
        <v>0</v>
      </c>
      <c r="BL22" s="427">
        <f t="shared" si="100"/>
        <v>0</v>
      </c>
      <c r="BM22" s="427">
        <f t="shared" si="101"/>
        <v>0</v>
      </c>
      <c r="BN22" s="427">
        <f t="shared" si="102"/>
        <v>0</v>
      </c>
      <c r="BO22" s="427">
        <f t="shared" si="103"/>
        <v>0</v>
      </c>
      <c r="BP22" s="428">
        <f t="shared" si="72"/>
        <v>67</v>
      </c>
      <c r="BQ22" s="327">
        <f t="shared" ca="1" si="91"/>
        <v>4.6701566305260934E-2</v>
      </c>
      <c r="BR22" s="327">
        <f t="shared" ca="1" si="73"/>
        <v>0</v>
      </c>
      <c r="BS22" s="327">
        <f t="shared" ca="1" si="74"/>
        <v>2.222222222222222E-2</v>
      </c>
      <c r="BT22" s="327">
        <f t="shared" ca="1" si="75"/>
        <v>2.5000000000000001E-2</v>
      </c>
      <c r="BU22" s="327">
        <f t="shared" ca="1" si="76"/>
        <v>0</v>
      </c>
      <c r="BV22" s="327">
        <f t="shared" ca="1" si="77"/>
        <v>1.5567188768420313E-2</v>
      </c>
      <c r="BW22" s="327">
        <f t="shared" ca="1" si="78"/>
        <v>0</v>
      </c>
      <c r="BY22" s="323" t="str">
        <f t="shared" si="79"/>
        <v>cooling</v>
      </c>
      <c r="BZ22" s="323">
        <f t="shared" ca="1" si="33"/>
        <v>12</v>
      </c>
      <c r="CA22" s="323">
        <f t="shared" ca="1" si="34"/>
        <v>3</v>
      </c>
      <c r="CB22" s="323">
        <f t="shared" ca="1" si="35"/>
        <v>0</v>
      </c>
      <c r="CC22" s="323">
        <f t="shared" ca="1" si="36"/>
        <v>2</v>
      </c>
      <c r="CD22" s="323">
        <f t="shared" ca="1" si="37"/>
        <v>3</v>
      </c>
      <c r="CE22" s="323">
        <f t="shared" ca="1" si="38"/>
        <v>0</v>
      </c>
      <c r="CF22" s="323">
        <f t="shared" ca="1" si="39"/>
        <v>1</v>
      </c>
      <c r="CG22" s="323">
        <f t="shared" ca="1" si="40"/>
        <v>0</v>
      </c>
      <c r="CI22" s="327">
        <f t="shared" ca="1" si="80"/>
        <v>0.28020939783156562</v>
      </c>
      <c r="CJ22" s="327">
        <f t="shared" ca="1" si="81"/>
        <v>0</v>
      </c>
      <c r="CK22" s="327">
        <f t="shared" ca="1" si="82"/>
        <v>0.26666666666666666</v>
      </c>
      <c r="CL22" s="327">
        <f t="shared" ca="1" si="83"/>
        <v>0.30000000000000004</v>
      </c>
      <c r="CM22" s="327">
        <f t="shared" ca="1" si="84"/>
        <v>0</v>
      </c>
      <c r="CN22" s="327">
        <f t="shared" ca="1" si="85"/>
        <v>9.3403132610521883E-2</v>
      </c>
      <c r="CO22" s="327">
        <f t="shared" ca="1" si="86"/>
        <v>0</v>
      </c>
      <c r="CP22" s="328">
        <f t="shared" si="87"/>
        <v>67</v>
      </c>
      <c r="CQ22" s="327">
        <f t="shared" ca="1" si="47"/>
        <v>4.6701566305260934E-2</v>
      </c>
      <c r="CR22" s="327">
        <f t="shared" ca="1" si="48"/>
        <v>0</v>
      </c>
      <c r="CS22" s="327">
        <f t="shared" ca="1" si="49"/>
        <v>2.222222222222222E-2</v>
      </c>
      <c r="CT22" s="327">
        <f t="shared" ca="1" si="50"/>
        <v>2.5000000000000001E-2</v>
      </c>
      <c r="CU22" s="327">
        <f t="shared" ca="1" si="51"/>
        <v>0</v>
      </c>
      <c r="CV22" s="327">
        <f t="shared" ca="1" si="52"/>
        <v>1.5567188768420313E-2</v>
      </c>
      <c r="CW22" s="327">
        <f t="shared" ca="1" si="53"/>
        <v>0</v>
      </c>
      <c r="CY22" s="332"/>
      <c r="CZ22" s="332"/>
      <c r="DA22" s="332"/>
      <c r="DB22" s="332"/>
      <c r="DC22" s="332"/>
      <c r="DD22" s="332"/>
      <c r="DE22" s="332"/>
      <c r="DF22" s="417"/>
      <c r="DG22" s="417"/>
    </row>
    <row r="23" spans="1:111" s="333" customFormat="1" ht="43.5" x14ac:dyDescent="0.35">
      <c r="A23" s="301" t="s">
        <v>137</v>
      </c>
      <c r="B23" s="15" t="s">
        <v>190</v>
      </c>
      <c r="C23" s="15" t="s">
        <v>184</v>
      </c>
      <c r="D23" s="15" t="s">
        <v>191</v>
      </c>
      <c r="E23" s="411"/>
      <c r="F23" s="412">
        <v>1</v>
      </c>
      <c r="G23" s="411">
        <v>0</v>
      </c>
      <c r="H23" s="406">
        <f t="shared" si="88"/>
        <v>0</v>
      </c>
      <c r="I23" s="415" t="str">
        <f ca="1">IF(AND(O23=1,OR(E23="",E23&lt;0,E23&gt;W23,AND(H23&gt;0,OR(G23="",G23&lt;0,G23&gt;W23)),F23&gt;1,F23&lt;0)),_general!$A$83,"")</f>
        <v/>
      </c>
      <c r="J23" s="110" t="s">
        <v>25</v>
      </c>
      <c r="K23" s="110" t="s">
        <v>40</v>
      </c>
      <c r="L23" s="110" t="s">
        <v>41</v>
      </c>
      <c r="M23" s="110" t="s">
        <v>42</v>
      </c>
      <c r="N23" s="110"/>
      <c r="O23" s="48">
        <f ca="1">IF(AND(INDIRECT(ADDRESS(VLOOKUP(INDIRECT(ADDRESS(ROW(),25)),_general!$A$85:$B$92,2,),7,,,"Building Information"))="yes",'Building Information'!$G$75=_general!$I$34),1,0)</f>
        <v>0</v>
      </c>
      <c r="P23" s="111"/>
      <c r="Q23" s="111"/>
      <c r="R23" s="142" t="s">
        <v>863</v>
      </c>
      <c r="S23" s="142">
        <f>IF(OR('Building Information'!$G$46="yes",AND('Building Information'!$G$46="no",'Building Information'!$I$46=_general!$J$3)),1,0)</f>
        <v>1</v>
      </c>
      <c r="T23" s="142">
        <f t="shared" ca="1" si="24"/>
        <v>0</v>
      </c>
      <c r="U23" s="323">
        <f t="shared" ca="1" si="25"/>
        <v>0</v>
      </c>
      <c r="V23" s="323">
        <f t="shared" ca="1" si="54"/>
        <v>0</v>
      </c>
      <c r="W23" s="323">
        <f t="shared" si="26"/>
        <v>3</v>
      </c>
      <c r="X23" s="323">
        <f t="shared" ca="1" si="55"/>
        <v>0</v>
      </c>
      <c r="Y23" s="323" t="str">
        <f>VLOOKUP($B23,overview_of_services!$B$2:$T$123,$Y$2,FALSE)</f>
        <v>cooling</v>
      </c>
      <c r="Z23" s="323">
        <f t="shared" ca="1" si="56"/>
        <v>22</v>
      </c>
      <c r="AA23" s="323">
        <f t="shared" ca="1" si="113"/>
        <v>0</v>
      </c>
      <c r="AB23" s="323">
        <f t="shared" ca="1" si="113"/>
        <v>0</v>
      </c>
      <c r="AC23" s="323">
        <f t="shared" ca="1" si="113"/>
        <v>0</v>
      </c>
      <c r="AD23" s="323">
        <f t="shared" ca="1" si="113"/>
        <v>0</v>
      </c>
      <c r="AE23" s="323">
        <f t="shared" ca="1" si="113"/>
        <v>0</v>
      </c>
      <c r="AF23" s="323">
        <f t="shared" ca="1" si="113"/>
        <v>0</v>
      </c>
      <c r="AG23" s="323">
        <f t="shared" ca="1" si="113"/>
        <v>0</v>
      </c>
      <c r="AH23" s="323">
        <f t="shared" ca="1" si="57"/>
        <v>22</v>
      </c>
      <c r="AI23" s="323">
        <f t="shared" ca="1" si="58"/>
        <v>0</v>
      </c>
      <c r="AJ23" s="323">
        <f t="shared" ca="1" si="58"/>
        <v>0</v>
      </c>
      <c r="AK23" s="323">
        <f t="shared" ca="1" si="58"/>
        <v>0</v>
      </c>
      <c r="AL23" s="323">
        <f t="shared" ca="1" si="58"/>
        <v>0</v>
      </c>
      <c r="AM23" s="323">
        <f t="shared" ca="1" si="58"/>
        <v>0</v>
      </c>
      <c r="AN23" s="323">
        <f t="shared" ca="1" si="58"/>
        <v>0</v>
      </c>
      <c r="AO23" s="323">
        <f t="shared" ca="1" si="58"/>
        <v>0</v>
      </c>
      <c r="AP23" s="324"/>
      <c r="AQ23" s="324" t="s">
        <v>973</v>
      </c>
      <c r="AR23" s="325">
        <f>VLOOKUP(Y23,_general!$A$65:$B$73,2,FALSE)+$AR$4</f>
        <v>56</v>
      </c>
      <c r="AS23" s="326">
        <f t="shared" ca="1" si="59"/>
        <v>9.3403132610521883E-2</v>
      </c>
      <c r="AT23" s="326">
        <f t="shared" ca="1" si="59"/>
        <v>8.7176257103153743E-2</v>
      </c>
      <c r="AU23" s="326">
        <f t="shared" ca="1" si="59"/>
        <v>0.13333333333333333</v>
      </c>
      <c r="AV23" s="326">
        <f t="shared" ca="1" si="59"/>
        <v>0.1</v>
      </c>
      <c r="AW23" s="326">
        <f t="shared" ca="1" si="59"/>
        <v>0</v>
      </c>
      <c r="AX23" s="326">
        <f t="shared" ca="1" si="59"/>
        <v>9.3403132610521883E-2</v>
      </c>
      <c r="AY23" s="326">
        <f t="shared" ca="1" si="59"/>
        <v>0.1142857142857143</v>
      </c>
      <c r="AZ23" s="429"/>
      <c r="BA23" s="427">
        <f t="shared" ca="1" si="89"/>
        <v>0</v>
      </c>
      <c r="BB23" s="427">
        <f t="shared" ca="1" si="92"/>
        <v>0</v>
      </c>
      <c r="BC23" s="427">
        <f t="shared" ca="1" si="93"/>
        <v>0</v>
      </c>
      <c r="BD23" s="427">
        <f t="shared" ca="1" si="94"/>
        <v>0</v>
      </c>
      <c r="BE23" s="427">
        <f t="shared" ca="1" si="95"/>
        <v>0</v>
      </c>
      <c r="BF23" s="427">
        <f t="shared" ca="1" si="96"/>
        <v>0</v>
      </c>
      <c r="BG23" s="427">
        <f t="shared" ca="1" si="97"/>
        <v>0</v>
      </c>
      <c r="BH23" s="434"/>
      <c r="BI23" s="427">
        <f t="shared" si="90"/>
        <v>0</v>
      </c>
      <c r="BJ23" s="427">
        <f t="shared" si="98"/>
        <v>0</v>
      </c>
      <c r="BK23" s="427">
        <f t="shared" si="99"/>
        <v>0</v>
      </c>
      <c r="BL23" s="427">
        <f t="shared" si="100"/>
        <v>0</v>
      </c>
      <c r="BM23" s="427">
        <f t="shared" si="101"/>
        <v>0</v>
      </c>
      <c r="BN23" s="427">
        <f t="shared" si="102"/>
        <v>0</v>
      </c>
      <c r="BO23" s="427">
        <f t="shared" si="103"/>
        <v>0</v>
      </c>
      <c r="BP23" s="428">
        <f t="shared" si="72"/>
        <v>67</v>
      </c>
      <c r="BQ23" s="327">
        <f t="shared" ca="1" si="91"/>
        <v>0</v>
      </c>
      <c r="BR23" s="327">
        <f t="shared" ca="1" si="73"/>
        <v>0</v>
      </c>
      <c r="BS23" s="327">
        <f t="shared" ca="1" si="74"/>
        <v>0</v>
      </c>
      <c r="BT23" s="327">
        <f t="shared" ca="1" si="75"/>
        <v>0</v>
      </c>
      <c r="BU23" s="327">
        <f t="shared" ca="1" si="76"/>
        <v>0</v>
      </c>
      <c r="BV23" s="327">
        <f t="shared" ca="1" si="77"/>
        <v>0</v>
      </c>
      <c r="BW23" s="327">
        <f t="shared" ca="1" si="78"/>
        <v>0</v>
      </c>
      <c r="BY23" s="323" t="str">
        <f t="shared" si="79"/>
        <v>cooling</v>
      </c>
      <c r="BZ23" s="323">
        <f t="shared" ca="1" si="33"/>
        <v>22</v>
      </c>
      <c r="CA23" s="323">
        <f t="shared" ca="1" si="34"/>
        <v>0</v>
      </c>
      <c r="CB23" s="323">
        <f t="shared" ca="1" si="35"/>
        <v>0</v>
      </c>
      <c r="CC23" s="323">
        <f t="shared" ca="1" si="36"/>
        <v>0</v>
      </c>
      <c r="CD23" s="323">
        <f t="shared" ca="1" si="37"/>
        <v>0</v>
      </c>
      <c r="CE23" s="323">
        <f t="shared" ca="1" si="38"/>
        <v>0</v>
      </c>
      <c r="CF23" s="323">
        <f t="shared" ca="1" si="39"/>
        <v>0</v>
      </c>
      <c r="CG23" s="323">
        <f t="shared" ca="1" si="40"/>
        <v>0</v>
      </c>
      <c r="CI23" s="327">
        <f t="shared" ca="1" si="80"/>
        <v>0</v>
      </c>
      <c r="CJ23" s="327">
        <f t="shared" ca="1" si="81"/>
        <v>0</v>
      </c>
      <c r="CK23" s="327">
        <f t="shared" ca="1" si="82"/>
        <v>0</v>
      </c>
      <c r="CL23" s="327">
        <f t="shared" ca="1" si="83"/>
        <v>0</v>
      </c>
      <c r="CM23" s="327">
        <f t="shared" ca="1" si="84"/>
        <v>0</v>
      </c>
      <c r="CN23" s="327">
        <f t="shared" ca="1" si="85"/>
        <v>0</v>
      </c>
      <c r="CO23" s="327">
        <f t="shared" ca="1" si="86"/>
        <v>0</v>
      </c>
      <c r="CP23" s="328">
        <f t="shared" si="87"/>
        <v>67</v>
      </c>
      <c r="CQ23" s="327">
        <f t="shared" ca="1" si="47"/>
        <v>0</v>
      </c>
      <c r="CR23" s="327">
        <f t="shared" ca="1" si="48"/>
        <v>0</v>
      </c>
      <c r="CS23" s="327">
        <f t="shared" ca="1" si="49"/>
        <v>0</v>
      </c>
      <c r="CT23" s="327">
        <f t="shared" ca="1" si="50"/>
        <v>0</v>
      </c>
      <c r="CU23" s="327">
        <f t="shared" ca="1" si="51"/>
        <v>0</v>
      </c>
      <c r="CV23" s="327">
        <f t="shared" ca="1" si="52"/>
        <v>0</v>
      </c>
      <c r="CW23" s="327">
        <f t="shared" ca="1" si="53"/>
        <v>0</v>
      </c>
      <c r="CY23" s="334"/>
      <c r="CZ23" s="334"/>
      <c r="DA23" s="334"/>
      <c r="DB23" s="334"/>
      <c r="DC23" s="334"/>
      <c r="DD23" s="334"/>
      <c r="DE23" s="334"/>
      <c r="DF23" s="418"/>
      <c r="DG23" s="418"/>
    </row>
    <row r="24" spans="1:111" s="335" customFormat="1" ht="44.4" customHeight="1" x14ac:dyDescent="0.35">
      <c r="A24" s="298"/>
      <c r="B24" s="15" t="s">
        <v>194</v>
      </c>
      <c r="C24" s="15" t="s">
        <v>184</v>
      </c>
      <c r="D24" s="15" t="s">
        <v>195</v>
      </c>
      <c r="E24" s="411">
        <v>2</v>
      </c>
      <c r="F24" s="412">
        <v>1</v>
      </c>
      <c r="G24" s="411">
        <v>0</v>
      </c>
      <c r="H24" s="406">
        <f t="shared" si="88"/>
        <v>0</v>
      </c>
      <c r="I24" s="415" t="str">
        <f ca="1">IF(AND(O24=1,OR(E24="",E24&lt;0,E24&gt;W24,AND(H24&gt;0,OR(G24="",G24&lt;0,G24&gt;W24)),F24&gt;1,F24&lt;0)),_general!$A$83,"")</f>
        <v/>
      </c>
      <c r="J24" s="110" t="s">
        <v>86</v>
      </c>
      <c r="K24" s="110" t="s">
        <v>48</v>
      </c>
      <c r="L24" s="110" t="s">
        <v>49</v>
      </c>
      <c r="M24" s="110"/>
      <c r="N24" s="110"/>
      <c r="O24" s="48">
        <f ca="1">IF(AND(INDIRECT(ADDRESS(VLOOKUP(INDIRECT(ADDRESS(ROW(),25)),_general!$A$85:$B$92,2,),7,,,"Building Information"))="yes",OR('Building Information'!$G$75=_general!$I$34,'Building Information'!$G$75=_general!$I$35)),1,0)</f>
        <v>1</v>
      </c>
      <c r="P24" s="111"/>
      <c r="Q24" s="111"/>
      <c r="R24" s="142" t="s">
        <v>863</v>
      </c>
      <c r="S24" s="142">
        <f>IF(OR('Building Information'!$G$46="yes",AND('Building Information'!$G$46="no",'Building Information'!$I$46=_general!$J$3)),1,0)</f>
        <v>1</v>
      </c>
      <c r="T24" s="142">
        <f t="shared" ca="1" si="24"/>
        <v>1</v>
      </c>
      <c r="U24" s="323">
        <f t="shared" ca="1" si="25"/>
        <v>2</v>
      </c>
      <c r="V24" s="323">
        <f t="shared" ca="1" si="54"/>
        <v>0</v>
      </c>
      <c r="W24" s="323">
        <f t="shared" si="26"/>
        <v>2</v>
      </c>
      <c r="X24" s="323">
        <f t="shared" ca="1" si="55"/>
        <v>2</v>
      </c>
      <c r="Y24" s="323" t="str">
        <f>VLOOKUP($B24,overview_of_services!$B$2:$T$123,$Y$2,FALSE)</f>
        <v>cooling</v>
      </c>
      <c r="Z24" s="323">
        <f t="shared" ca="1" si="56"/>
        <v>38</v>
      </c>
      <c r="AA24" s="323">
        <f t="shared" ca="1" si="113"/>
        <v>2</v>
      </c>
      <c r="AB24" s="323">
        <f t="shared" ca="1" si="113"/>
        <v>0</v>
      </c>
      <c r="AC24" s="323">
        <f t="shared" ca="1" si="113"/>
        <v>2</v>
      </c>
      <c r="AD24" s="323">
        <f t="shared" ca="1" si="113"/>
        <v>2</v>
      </c>
      <c r="AE24" s="323">
        <f t="shared" ca="1" si="113"/>
        <v>0</v>
      </c>
      <c r="AF24" s="323">
        <f t="shared" ca="1" si="113"/>
        <v>0</v>
      </c>
      <c r="AG24" s="323">
        <f t="shared" ca="1" si="113"/>
        <v>0</v>
      </c>
      <c r="AH24" s="323">
        <f t="shared" ca="1" si="57"/>
        <v>36</v>
      </c>
      <c r="AI24" s="323">
        <f t="shared" ca="1" si="58"/>
        <v>0</v>
      </c>
      <c r="AJ24" s="323">
        <f t="shared" ca="1" si="58"/>
        <v>0</v>
      </c>
      <c r="AK24" s="323">
        <f t="shared" ca="1" si="58"/>
        <v>0</v>
      </c>
      <c r="AL24" s="323">
        <f t="shared" ca="1" si="58"/>
        <v>0</v>
      </c>
      <c r="AM24" s="323">
        <f t="shared" ca="1" si="58"/>
        <v>0</v>
      </c>
      <c r="AN24" s="323">
        <f t="shared" ca="1" si="58"/>
        <v>0</v>
      </c>
      <c r="AO24" s="323">
        <f t="shared" ca="1" si="58"/>
        <v>0</v>
      </c>
      <c r="AP24" s="324"/>
      <c r="AQ24" s="324" t="s">
        <v>973</v>
      </c>
      <c r="AR24" s="325">
        <f>VLOOKUP(Y24,_general!$A$65:$B$73,2,FALSE)+$AR$4</f>
        <v>56</v>
      </c>
      <c r="AS24" s="326">
        <f t="shared" ca="1" si="59"/>
        <v>9.3403132610521883E-2</v>
      </c>
      <c r="AT24" s="326">
        <f t="shared" ca="1" si="59"/>
        <v>8.7176257103153743E-2</v>
      </c>
      <c r="AU24" s="326">
        <f t="shared" ca="1" si="59"/>
        <v>0.13333333333333333</v>
      </c>
      <c r="AV24" s="326">
        <f t="shared" ca="1" si="59"/>
        <v>0.1</v>
      </c>
      <c r="AW24" s="326">
        <f t="shared" ca="1" si="59"/>
        <v>0</v>
      </c>
      <c r="AX24" s="326">
        <f t="shared" ca="1" si="59"/>
        <v>9.3403132610521883E-2</v>
      </c>
      <c r="AY24" s="326">
        <f t="shared" ca="1" si="59"/>
        <v>0.1142857142857143</v>
      </c>
      <c r="AZ24" s="429"/>
      <c r="BA24" s="427">
        <f t="shared" ca="1" si="89"/>
        <v>0.18680626522104377</v>
      </c>
      <c r="BB24" s="427">
        <f t="shared" ca="1" si="92"/>
        <v>0</v>
      </c>
      <c r="BC24" s="427">
        <f t="shared" ca="1" si="93"/>
        <v>0.26666666666666666</v>
      </c>
      <c r="BD24" s="427">
        <f t="shared" ca="1" si="94"/>
        <v>0.2</v>
      </c>
      <c r="BE24" s="427">
        <f t="shared" ca="1" si="95"/>
        <v>0</v>
      </c>
      <c r="BF24" s="427">
        <f t="shared" ca="1" si="96"/>
        <v>0</v>
      </c>
      <c r="BG24" s="427">
        <f t="shared" ca="1" si="97"/>
        <v>0</v>
      </c>
      <c r="BH24" s="434"/>
      <c r="BI24" s="427">
        <f t="shared" si="90"/>
        <v>0</v>
      </c>
      <c r="BJ24" s="427">
        <f t="shared" si="98"/>
        <v>0</v>
      </c>
      <c r="BK24" s="427">
        <f t="shared" si="99"/>
        <v>0</v>
      </c>
      <c r="BL24" s="427">
        <f t="shared" si="100"/>
        <v>0</v>
      </c>
      <c r="BM24" s="427">
        <f t="shared" si="101"/>
        <v>0</v>
      </c>
      <c r="BN24" s="427">
        <f t="shared" si="102"/>
        <v>0</v>
      </c>
      <c r="BO24" s="427">
        <f t="shared" si="103"/>
        <v>0</v>
      </c>
      <c r="BP24" s="428">
        <f t="shared" si="72"/>
        <v>67</v>
      </c>
      <c r="BQ24" s="327">
        <f t="shared" ca="1" si="91"/>
        <v>3.1134377536840625E-2</v>
      </c>
      <c r="BR24" s="327">
        <f t="shared" ca="1" si="73"/>
        <v>0</v>
      </c>
      <c r="BS24" s="327">
        <f t="shared" ca="1" si="74"/>
        <v>2.222222222222222E-2</v>
      </c>
      <c r="BT24" s="327">
        <f t="shared" ca="1" si="75"/>
        <v>1.6666666666666666E-2</v>
      </c>
      <c r="BU24" s="327">
        <f t="shared" ca="1" si="76"/>
        <v>0</v>
      </c>
      <c r="BV24" s="327">
        <f t="shared" ca="1" si="77"/>
        <v>0</v>
      </c>
      <c r="BW24" s="327">
        <f t="shared" ca="1" si="78"/>
        <v>0</v>
      </c>
      <c r="BY24" s="323" t="str">
        <f t="shared" si="79"/>
        <v>cooling</v>
      </c>
      <c r="BZ24" s="323">
        <f t="shared" ca="1" si="33"/>
        <v>38</v>
      </c>
      <c r="CA24" s="323">
        <f t="shared" ca="1" si="34"/>
        <v>2</v>
      </c>
      <c r="CB24" s="323">
        <f t="shared" ca="1" si="35"/>
        <v>0</v>
      </c>
      <c r="CC24" s="323">
        <f t="shared" ca="1" si="36"/>
        <v>2</v>
      </c>
      <c r="CD24" s="323">
        <f t="shared" ca="1" si="37"/>
        <v>2</v>
      </c>
      <c r="CE24" s="323">
        <f t="shared" ca="1" si="38"/>
        <v>0</v>
      </c>
      <c r="CF24" s="323">
        <f t="shared" ca="1" si="39"/>
        <v>0</v>
      </c>
      <c r="CG24" s="323">
        <f t="shared" ca="1" si="40"/>
        <v>0</v>
      </c>
      <c r="CI24" s="327">
        <f t="shared" ca="1" si="80"/>
        <v>0.18680626522104377</v>
      </c>
      <c r="CJ24" s="327">
        <f t="shared" ca="1" si="81"/>
        <v>0</v>
      </c>
      <c r="CK24" s="327">
        <f t="shared" ca="1" si="82"/>
        <v>0.26666666666666666</v>
      </c>
      <c r="CL24" s="327">
        <f t="shared" ca="1" si="83"/>
        <v>0.2</v>
      </c>
      <c r="CM24" s="327">
        <f t="shared" ca="1" si="84"/>
        <v>0</v>
      </c>
      <c r="CN24" s="327">
        <f t="shared" ca="1" si="85"/>
        <v>0</v>
      </c>
      <c r="CO24" s="327">
        <f t="shared" ca="1" si="86"/>
        <v>0</v>
      </c>
      <c r="CP24" s="328">
        <f t="shared" si="87"/>
        <v>67</v>
      </c>
      <c r="CQ24" s="327">
        <f t="shared" ca="1" si="47"/>
        <v>3.1134377536840625E-2</v>
      </c>
      <c r="CR24" s="327">
        <f t="shared" ca="1" si="48"/>
        <v>0</v>
      </c>
      <c r="CS24" s="327">
        <f t="shared" ca="1" si="49"/>
        <v>2.222222222222222E-2</v>
      </c>
      <c r="CT24" s="327">
        <f t="shared" ca="1" si="50"/>
        <v>1.6666666666666666E-2</v>
      </c>
      <c r="CU24" s="327">
        <f t="shared" ca="1" si="51"/>
        <v>0</v>
      </c>
      <c r="CV24" s="327">
        <f t="shared" ca="1" si="52"/>
        <v>0</v>
      </c>
      <c r="CW24" s="327">
        <f t="shared" ca="1" si="53"/>
        <v>0</v>
      </c>
      <c r="CY24" s="336"/>
      <c r="CZ24" s="336"/>
      <c r="DA24" s="336"/>
      <c r="DB24" s="336"/>
      <c r="DC24" s="336"/>
      <c r="DD24" s="336"/>
      <c r="DE24" s="336"/>
      <c r="DF24" s="417"/>
      <c r="DG24" s="417"/>
    </row>
    <row r="25" spans="1:111" s="329" customFormat="1" ht="29" x14ac:dyDescent="0.35">
      <c r="A25" s="299"/>
      <c r="B25" s="15" t="s">
        <v>197</v>
      </c>
      <c r="C25" s="15" t="s">
        <v>184</v>
      </c>
      <c r="D25" s="15" t="s">
        <v>53</v>
      </c>
      <c r="E25" s="411">
        <v>4</v>
      </c>
      <c r="F25" s="412">
        <v>1</v>
      </c>
      <c r="G25" s="411">
        <v>0</v>
      </c>
      <c r="H25" s="406">
        <f t="shared" si="88"/>
        <v>0</v>
      </c>
      <c r="I25" s="415" t="str">
        <f ca="1">IF(AND(O25=1,OR(E25="",E25&lt;0,E25&gt;W25,AND(H25&gt;0,OR(G25="",G25&lt;0,G25&gt;W25)),F25&gt;1,F25&lt;0)),_general!$A$83,"")</f>
        <v/>
      </c>
      <c r="J25" s="110" t="s">
        <v>25</v>
      </c>
      <c r="K25" s="110" t="s">
        <v>54</v>
      </c>
      <c r="L25" s="110" t="s">
        <v>55</v>
      </c>
      <c r="M25" s="110" t="s">
        <v>56</v>
      </c>
      <c r="N25" s="110" t="s">
        <v>57</v>
      </c>
      <c r="O25" s="48">
        <f ca="1">IF(AND(INDIRECT(ADDRESS(VLOOKUP(INDIRECT(ADDRESS(ROW(),25)),_general!$A$85:$B$92,2,),7,,,"Building Information"))="yes",OR('Building Information'!$G$75=_general!$I$34,'Building Information'!$G$75=_general!$I$35)),1,0)</f>
        <v>1</v>
      </c>
      <c r="P25" s="111"/>
      <c r="Q25" s="111"/>
      <c r="R25" s="142" t="s">
        <v>863</v>
      </c>
      <c r="S25" s="142">
        <f>IF(OR('Building Information'!$G$46="yes",AND('Building Information'!$G$46="no",'Building Information'!$I$46=_general!$J$3)),1,0)</f>
        <v>1</v>
      </c>
      <c r="T25" s="142">
        <f t="shared" ca="1" si="24"/>
        <v>1</v>
      </c>
      <c r="U25" s="323">
        <f t="shared" ca="1" si="25"/>
        <v>4</v>
      </c>
      <c r="V25" s="323">
        <f t="shared" ca="1" si="54"/>
        <v>0</v>
      </c>
      <c r="W25" s="323">
        <f t="shared" si="26"/>
        <v>4</v>
      </c>
      <c r="X25" s="323">
        <f t="shared" ca="1" si="55"/>
        <v>4</v>
      </c>
      <c r="Y25" s="323" t="str">
        <f>VLOOKUP($B25,overview_of_services!$B$2:$T$123,$Y$2,FALSE)</f>
        <v>cooling</v>
      </c>
      <c r="Z25" s="323">
        <f t="shared" ca="1" si="56"/>
        <v>54</v>
      </c>
      <c r="AA25" s="323">
        <f t="shared" ref="AA25:AG33" ca="1" si="114">IF($O25=1,INDIRECT(ADDRESS($Z25,AA$2,1,,$Y25)),0)</f>
        <v>3</v>
      </c>
      <c r="AB25" s="323">
        <f t="shared" ca="1" si="114"/>
        <v>0</v>
      </c>
      <c r="AC25" s="323">
        <f t="shared" ca="1" si="114"/>
        <v>0</v>
      </c>
      <c r="AD25" s="323">
        <f t="shared" ca="1" si="114"/>
        <v>0</v>
      </c>
      <c r="AE25" s="323">
        <f t="shared" ca="1" si="114"/>
        <v>0</v>
      </c>
      <c r="AF25" s="323">
        <f t="shared" ca="1" si="114"/>
        <v>0</v>
      </c>
      <c r="AG25" s="323">
        <f t="shared" ca="1" si="114"/>
        <v>0</v>
      </c>
      <c r="AH25" s="323">
        <f t="shared" ca="1" si="57"/>
        <v>50</v>
      </c>
      <c r="AI25" s="323">
        <f t="shared" ca="1" si="58"/>
        <v>0</v>
      </c>
      <c r="AJ25" s="323">
        <f t="shared" ca="1" si="58"/>
        <v>0</v>
      </c>
      <c r="AK25" s="323">
        <f t="shared" ca="1" si="58"/>
        <v>0</v>
      </c>
      <c r="AL25" s="323">
        <f t="shared" ca="1" si="58"/>
        <v>0</v>
      </c>
      <c r="AM25" s="323">
        <f t="shared" ca="1" si="58"/>
        <v>0</v>
      </c>
      <c r="AN25" s="323">
        <f t="shared" ca="1" si="58"/>
        <v>0</v>
      </c>
      <c r="AO25" s="323">
        <f t="shared" ca="1" si="58"/>
        <v>0</v>
      </c>
      <c r="AP25" s="324"/>
      <c r="AQ25" s="324" t="s">
        <v>973</v>
      </c>
      <c r="AR25" s="325">
        <f>VLOOKUP(Y25,_general!$A$65:$B$73,2,FALSE)+$AR$4</f>
        <v>56</v>
      </c>
      <c r="AS25" s="326">
        <f t="shared" ca="1" si="59"/>
        <v>9.3403132610521883E-2</v>
      </c>
      <c r="AT25" s="326">
        <f t="shared" ca="1" si="59"/>
        <v>8.7176257103153743E-2</v>
      </c>
      <c r="AU25" s="326">
        <f t="shared" ca="1" si="59"/>
        <v>0.13333333333333333</v>
      </c>
      <c r="AV25" s="326">
        <f t="shared" ca="1" si="59"/>
        <v>0.1</v>
      </c>
      <c r="AW25" s="326">
        <f t="shared" ca="1" si="59"/>
        <v>0</v>
      </c>
      <c r="AX25" s="326">
        <f t="shared" ca="1" si="59"/>
        <v>9.3403132610521883E-2</v>
      </c>
      <c r="AY25" s="326">
        <f t="shared" ca="1" si="59"/>
        <v>0.1142857142857143</v>
      </c>
      <c r="AZ25" s="429"/>
      <c r="BA25" s="427">
        <f t="shared" ca="1" si="89"/>
        <v>0.28020939783156562</v>
      </c>
      <c r="BB25" s="427">
        <f t="shared" ca="1" si="92"/>
        <v>0</v>
      </c>
      <c r="BC25" s="427">
        <f t="shared" ca="1" si="93"/>
        <v>0</v>
      </c>
      <c r="BD25" s="427">
        <f t="shared" ca="1" si="94"/>
        <v>0</v>
      </c>
      <c r="BE25" s="427">
        <f t="shared" ca="1" si="95"/>
        <v>0</v>
      </c>
      <c r="BF25" s="427">
        <f t="shared" ca="1" si="96"/>
        <v>0</v>
      </c>
      <c r="BG25" s="427">
        <f t="shared" ca="1" si="97"/>
        <v>0</v>
      </c>
      <c r="BH25" s="434"/>
      <c r="BI25" s="427">
        <f t="shared" si="90"/>
        <v>0</v>
      </c>
      <c r="BJ25" s="427">
        <f t="shared" si="98"/>
        <v>0</v>
      </c>
      <c r="BK25" s="427">
        <f t="shared" si="99"/>
        <v>0</v>
      </c>
      <c r="BL25" s="427">
        <f t="shared" si="100"/>
        <v>0</v>
      </c>
      <c r="BM25" s="427">
        <f t="shared" si="101"/>
        <v>0</v>
      </c>
      <c r="BN25" s="427">
        <f t="shared" si="102"/>
        <v>0</v>
      </c>
      <c r="BO25" s="427">
        <f t="shared" si="103"/>
        <v>0</v>
      </c>
      <c r="BP25" s="428">
        <f t="shared" si="72"/>
        <v>67</v>
      </c>
      <c r="BQ25" s="327">
        <f t="shared" ca="1" si="91"/>
        <v>4.6701566305260934E-2</v>
      </c>
      <c r="BR25" s="327">
        <f t="shared" ca="1" si="73"/>
        <v>0</v>
      </c>
      <c r="BS25" s="327">
        <f t="shared" ca="1" si="74"/>
        <v>0</v>
      </c>
      <c r="BT25" s="327">
        <f t="shared" ca="1" si="75"/>
        <v>0</v>
      </c>
      <c r="BU25" s="327">
        <f t="shared" ca="1" si="76"/>
        <v>0</v>
      </c>
      <c r="BV25" s="327">
        <f t="shared" ca="1" si="77"/>
        <v>0</v>
      </c>
      <c r="BW25" s="327">
        <f t="shared" ca="1" si="78"/>
        <v>0</v>
      </c>
      <c r="BY25" s="323" t="str">
        <f t="shared" si="79"/>
        <v>cooling</v>
      </c>
      <c r="BZ25" s="323">
        <f t="shared" ca="1" si="33"/>
        <v>54</v>
      </c>
      <c r="CA25" s="323">
        <f t="shared" ca="1" si="34"/>
        <v>3</v>
      </c>
      <c r="CB25" s="323">
        <f t="shared" ca="1" si="35"/>
        <v>0</v>
      </c>
      <c r="CC25" s="323">
        <f t="shared" ca="1" si="36"/>
        <v>0</v>
      </c>
      <c r="CD25" s="323">
        <f t="shared" ca="1" si="37"/>
        <v>0</v>
      </c>
      <c r="CE25" s="323">
        <f t="shared" ca="1" si="38"/>
        <v>0</v>
      </c>
      <c r="CF25" s="323">
        <f t="shared" ca="1" si="39"/>
        <v>0</v>
      </c>
      <c r="CG25" s="323">
        <f t="shared" ca="1" si="40"/>
        <v>0</v>
      </c>
      <c r="CI25" s="327">
        <f t="shared" ca="1" si="80"/>
        <v>0.28020939783156562</v>
      </c>
      <c r="CJ25" s="327">
        <f t="shared" ca="1" si="81"/>
        <v>0</v>
      </c>
      <c r="CK25" s="327">
        <f t="shared" ca="1" si="82"/>
        <v>0</v>
      </c>
      <c r="CL25" s="327">
        <f t="shared" ca="1" si="83"/>
        <v>0</v>
      </c>
      <c r="CM25" s="327">
        <f t="shared" ca="1" si="84"/>
        <v>0</v>
      </c>
      <c r="CN25" s="327">
        <f t="shared" ca="1" si="85"/>
        <v>0</v>
      </c>
      <c r="CO25" s="327">
        <f t="shared" ca="1" si="86"/>
        <v>0</v>
      </c>
      <c r="CP25" s="328">
        <f t="shared" si="87"/>
        <v>67</v>
      </c>
      <c r="CQ25" s="327">
        <f t="shared" ca="1" si="47"/>
        <v>4.6701566305260934E-2</v>
      </c>
      <c r="CR25" s="327">
        <f t="shared" ca="1" si="48"/>
        <v>0</v>
      </c>
      <c r="CS25" s="327">
        <f t="shared" ca="1" si="49"/>
        <v>0</v>
      </c>
      <c r="CT25" s="327">
        <f t="shared" ca="1" si="50"/>
        <v>0</v>
      </c>
      <c r="CU25" s="327">
        <f t="shared" ca="1" si="51"/>
        <v>0</v>
      </c>
      <c r="CV25" s="327">
        <f t="shared" ca="1" si="52"/>
        <v>0</v>
      </c>
      <c r="CW25" s="327">
        <f t="shared" ca="1" si="53"/>
        <v>0</v>
      </c>
      <c r="DF25" s="417"/>
      <c r="DG25" s="417"/>
    </row>
    <row r="26" spans="1:111" s="329" customFormat="1" ht="29" x14ac:dyDescent="0.35">
      <c r="A26" s="302" t="s">
        <v>182</v>
      </c>
      <c r="B26" s="15" t="s">
        <v>198</v>
      </c>
      <c r="C26" s="15" t="s">
        <v>184</v>
      </c>
      <c r="D26" s="15" t="s">
        <v>199</v>
      </c>
      <c r="E26" s="411">
        <v>2</v>
      </c>
      <c r="F26" s="412">
        <v>1</v>
      </c>
      <c r="G26" s="411">
        <v>0</v>
      </c>
      <c r="H26" s="406">
        <f t="shared" si="88"/>
        <v>0</v>
      </c>
      <c r="I26" s="415" t="str">
        <f ca="1">IF(AND(O26=1,OR(E26="",E26&lt;0,E26&gt;W26,AND(H26&gt;0,OR(G26="",G26&lt;0,G26&gt;W26)),F26&gt;1,F26&lt;0)),_general!$A$83,"")</f>
        <v/>
      </c>
      <c r="J26" s="110" t="s">
        <v>25</v>
      </c>
      <c r="K26" s="110" t="s">
        <v>64</v>
      </c>
      <c r="L26" s="110" t="s">
        <v>65</v>
      </c>
      <c r="M26" s="110" t="s">
        <v>66</v>
      </c>
      <c r="N26" s="110"/>
      <c r="O26" s="48">
        <f ca="1">IF(INDIRECT(ADDRESS(VLOOKUP(INDIRECT(ADDRESS(ROW(),25)),_general!$A$85:$B$92,2,),7,,,"Building Information"))="yes",1,0)</f>
        <v>1</v>
      </c>
      <c r="P26" s="111"/>
      <c r="Q26" s="111"/>
      <c r="R26" s="142" t="s">
        <v>978</v>
      </c>
      <c r="S26" s="142">
        <f>IF(OR('Building Information'!$G$46="yes",AND('Building Information'!$G$46="no",'Building Information'!$I$46=_general!$J$3)),1,0)</f>
        <v>1</v>
      </c>
      <c r="T26" s="142">
        <f t="shared" ca="1" si="24"/>
        <v>1</v>
      </c>
      <c r="U26" s="323">
        <f t="shared" ca="1" si="25"/>
        <v>2</v>
      </c>
      <c r="V26" s="323">
        <f t="shared" ca="1" si="54"/>
        <v>0</v>
      </c>
      <c r="W26" s="323">
        <f t="shared" si="26"/>
        <v>3</v>
      </c>
      <c r="X26" s="323">
        <f t="shared" ca="1" si="55"/>
        <v>3</v>
      </c>
      <c r="Y26" s="323" t="str">
        <f>VLOOKUP($B26,overview_of_services!$B$2:$T$123,$Y$2,FALSE)</f>
        <v>cooling</v>
      </c>
      <c r="Z26" s="323">
        <f t="shared" ca="1" si="56"/>
        <v>66</v>
      </c>
      <c r="AA26" s="323">
        <f t="shared" ca="1" si="114"/>
        <v>2</v>
      </c>
      <c r="AB26" s="323">
        <f t="shared" ca="1" si="114"/>
        <v>0</v>
      </c>
      <c r="AC26" s="323">
        <f t="shared" ca="1" si="114"/>
        <v>1</v>
      </c>
      <c r="AD26" s="323">
        <f t="shared" ca="1" si="114"/>
        <v>1</v>
      </c>
      <c r="AE26" s="323">
        <f t="shared" ca="1" si="114"/>
        <v>0</v>
      </c>
      <c r="AF26" s="323">
        <f t="shared" ca="1" si="114"/>
        <v>0</v>
      </c>
      <c r="AG26" s="323">
        <f t="shared" ca="1" si="114"/>
        <v>0</v>
      </c>
      <c r="AH26" s="323">
        <f t="shared" ca="1" si="57"/>
        <v>64</v>
      </c>
      <c r="AI26" s="323">
        <f t="shared" ca="1" si="58"/>
        <v>0</v>
      </c>
      <c r="AJ26" s="323">
        <f t="shared" ca="1" si="58"/>
        <v>0</v>
      </c>
      <c r="AK26" s="323">
        <f t="shared" ca="1" si="58"/>
        <v>0</v>
      </c>
      <c r="AL26" s="323">
        <f t="shared" ca="1" si="58"/>
        <v>0</v>
      </c>
      <c r="AM26" s="323">
        <f t="shared" ca="1" si="58"/>
        <v>0</v>
      </c>
      <c r="AN26" s="323">
        <f t="shared" ca="1" si="58"/>
        <v>0</v>
      </c>
      <c r="AO26" s="323">
        <f t="shared" ca="1" si="58"/>
        <v>0</v>
      </c>
      <c r="AP26" s="324"/>
      <c r="AQ26" s="324" t="s">
        <v>973</v>
      </c>
      <c r="AR26" s="325">
        <f>VLOOKUP(Y26,_general!$A$65:$B$73,2,FALSE)+$AR$4</f>
        <v>56</v>
      </c>
      <c r="AS26" s="326">
        <f t="shared" ca="1" si="59"/>
        <v>9.3403132610521883E-2</v>
      </c>
      <c r="AT26" s="326">
        <f t="shared" ca="1" si="59"/>
        <v>8.7176257103153743E-2</v>
      </c>
      <c r="AU26" s="326">
        <f t="shared" ca="1" si="59"/>
        <v>0.13333333333333333</v>
      </c>
      <c r="AV26" s="326">
        <f t="shared" ca="1" si="59"/>
        <v>0.1</v>
      </c>
      <c r="AW26" s="326">
        <f t="shared" ca="1" si="59"/>
        <v>0</v>
      </c>
      <c r="AX26" s="326">
        <f t="shared" ca="1" si="59"/>
        <v>9.3403132610521883E-2</v>
      </c>
      <c r="AY26" s="326">
        <f t="shared" ca="1" si="59"/>
        <v>0.1142857142857143</v>
      </c>
      <c r="AZ26" s="429"/>
      <c r="BA26" s="427">
        <f t="shared" ca="1" si="89"/>
        <v>0.18680626522104377</v>
      </c>
      <c r="BB26" s="427">
        <f t="shared" ca="1" si="92"/>
        <v>0</v>
      </c>
      <c r="BC26" s="427">
        <f t="shared" ca="1" si="93"/>
        <v>0.13333333333333333</v>
      </c>
      <c r="BD26" s="427">
        <f t="shared" ca="1" si="94"/>
        <v>0.1</v>
      </c>
      <c r="BE26" s="427">
        <f t="shared" ca="1" si="95"/>
        <v>0</v>
      </c>
      <c r="BF26" s="427">
        <f t="shared" ca="1" si="96"/>
        <v>0</v>
      </c>
      <c r="BG26" s="427">
        <f t="shared" ca="1" si="97"/>
        <v>0</v>
      </c>
      <c r="BH26" s="434"/>
      <c r="BI26" s="427">
        <f t="shared" si="90"/>
        <v>0</v>
      </c>
      <c r="BJ26" s="427">
        <f t="shared" si="98"/>
        <v>0</v>
      </c>
      <c r="BK26" s="427">
        <f t="shared" si="99"/>
        <v>0</v>
      </c>
      <c r="BL26" s="427">
        <f t="shared" si="100"/>
        <v>0</v>
      </c>
      <c r="BM26" s="427">
        <f t="shared" si="101"/>
        <v>0</v>
      </c>
      <c r="BN26" s="427">
        <f t="shared" si="102"/>
        <v>0</v>
      </c>
      <c r="BO26" s="427">
        <f t="shared" si="103"/>
        <v>0</v>
      </c>
      <c r="BP26" s="428">
        <f t="shared" si="72"/>
        <v>67</v>
      </c>
      <c r="BQ26" s="327">
        <f t="shared" ca="1" si="91"/>
        <v>3.1134377536840625E-2</v>
      </c>
      <c r="BR26" s="327">
        <f t="shared" ca="1" si="73"/>
        <v>0</v>
      </c>
      <c r="BS26" s="327">
        <f t="shared" ca="1" si="74"/>
        <v>1.111111111111111E-2</v>
      </c>
      <c r="BT26" s="327">
        <f t="shared" ca="1" si="75"/>
        <v>8.3333333333333332E-3</v>
      </c>
      <c r="BU26" s="327">
        <f t="shared" ca="1" si="76"/>
        <v>0</v>
      </c>
      <c r="BV26" s="327">
        <f t="shared" ca="1" si="77"/>
        <v>0</v>
      </c>
      <c r="BW26" s="327">
        <f t="shared" ca="1" si="78"/>
        <v>0</v>
      </c>
      <c r="BY26" s="323" t="str">
        <f t="shared" si="79"/>
        <v>cooling</v>
      </c>
      <c r="BZ26" s="323">
        <f t="shared" ca="1" si="33"/>
        <v>67</v>
      </c>
      <c r="CA26" s="323">
        <f t="shared" ca="1" si="34"/>
        <v>3</v>
      </c>
      <c r="CB26" s="323">
        <f t="shared" ca="1" si="35"/>
        <v>0</v>
      </c>
      <c r="CC26" s="323">
        <f t="shared" ca="1" si="36"/>
        <v>1</v>
      </c>
      <c r="CD26" s="323">
        <f t="shared" ca="1" si="37"/>
        <v>1</v>
      </c>
      <c r="CE26" s="323">
        <f t="shared" ca="1" si="38"/>
        <v>0</v>
      </c>
      <c r="CF26" s="323">
        <f t="shared" ca="1" si="39"/>
        <v>0</v>
      </c>
      <c r="CG26" s="323">
        <f t="shared" ca="1" si="40"/>
        <v>0</v>
      </c>
      <c r="CI26" s="327">
        <f t="shared" ca="1" si="80"/>
        <v>0.28020939783156562</v>
      </c>
      <c r="CJ26" s="327">
        <f t="shared" ca="1" si="81"/>
        <v>0</v>
      </c>
      <c r="CK26" s="327">
        <f t="shared" ca="1" si="82"/>
        <v>0.13333333333333333</v>
      </c>
      <c r="CL26" s="327">
        <f t="shared" ca="1" si="83"/>
        <v>0.1</v>
      </c>
      <c r="CM26" s="327">
        <f t="shared" ca="1" si="84"/>
        <v>0</v>
      </c>
      <c r="CN26" s="327">
        <f t="shared" ca="1" si="85"/>
        <v>0</v>
      </c>
      <c r="CO26" s="327">
        <f t="shared" ca="1" si="86"/>
        <v>0</v>
      </c>
      <c r="CP26" s="328">
        <f t="shared" si="87"/>
        <v>67</v>
      </c>
      <c r="CQ26" s="327">
        <f t="shared" ca="1" si="47"/>
        <v>4.6701566305260934E-2</v>
      </c>
      <c r="CR26" s="327">
        <f t="shared" ca="1" si="48"/>
        <v>0</v>
      </c>
      <c r="CS26" s="327">
        <f t="shared" ca="1" si="49"/>
        <v>1.111111111111111E-2</v>
      </c>
      <c r="CT26" s="327">
        <f t="shared" ca="1" si="50"/>
        <v>8.3333333333333332E-3</v>
      </c>
      <c r="CU26" s="327">
        <f t="shared" ca="1" si="51"/>
        <v>0</v>
      </c>
      <c r="CV26" s="327">
        <f t="shared" ca="1" si="52"/>
        <v>0</v>
      </c>
      <c r="CW26" s="327">
        <f t="shared" ca="1" si="53"/>
        <v>0</v>
      </c>
      <c r="CY26" s="332"/>
      <c r="CZ26" s="332"/>
      <c r="DA26" s="332"/>
      <c r="DB26" s="332"/>
      <c r="DC26" s="332"/>
      <c r="DD26" s="332"/>
      <c r="DE26" s="332"/>
      <c r="DF26" s="417"/>
      <c r="DG26" s="417"/>
    </row>
    <row r="27" spans="1:111" s="329" customFormat="1" ht="29" x14ac:dyDescent="0.35">
      <c r="A27" s="302" t="s">
        <v>182</v>
      </c>
      <c r="B27" s="15" t="s">
        <v>200</v>
      </c>
      <c r="C27" s="15" t="s">
        <v>184</v>
      </c>
      <c r="D27" s="15" t="s">
        <v>201</v>
      </c>
      <c r="E27" s="411">
        <v>2</v>
      </c>
      <c r="F27" s="412">
        <v>1</v>
      </c>
      <c r="G27" s="411">
        <v>0</v>
      </c>
      <c r="H27" s="406">
        <f t="shared" si="88"/>
        <v>0</v>
      </c>
      <c r="I27" s="415" t="str">
        <f ca="1">IF(AND(O27=1,OR(E27="",E27&lt;0,E27&gt;W27,AND(H27&gt;0,OR(G27="",G27&lt;0,G27&gt;W27)),F27&gt;1,F27&lt;0)),_general!$A$83,"")</f>
        <v/>
      </c>
      <c r="J27" s="110" t="s">
        <v>202</v>
      </c>
      <c r="K27" s="110" t="s">
        <v>203</v>
      </c>
      <c r="L27" s="110" t="s">
        <v>204</v>
      </c>
      <c r="M27" s="110"/>
      <c r="N27" s="110"/>
      <c r="O27" s="48">
        <f ca="1">IF(INDIRECT(ADDRESS(VLOOKUP(INDIRECT(ADDRESS(ROW(),25)),_general!$A$85:$B$92,2,),7,,,"Building Information"))="yes",1,0)</f>
        <v>1</v>
      </c>
      <c r="P27" s="111"/>
      <c r="Q27" s="111"/>
      <c r="R27" s="142" t="s">
        <v>978</v>
      </c>
      <c r="S27" s="142">
        <f>IF(OR('Building Information'!$G$46="yes",AND('Building Information'!$G$46="no",'Building Information'!$I$46=_general!$J$3)),1,0)</f>
        <v>1</v>
      </c>
      <c r="T27" s="142">
        <f t="shared" ca="1" si="24"/>
        <v>1</v>
      </c>
      <c r="U27" s="323">
        <f t="shared" ca="1" si="25"/>
        <v>2</v>
      </c>
      <c r="V27" s="323">
        <f t="shared" ca="1" si="54"/>
        <v>0</v>
      </c>
      <c r="W27" s="323">
        <f t="shared" si="26"/>
        <v>2</v>
      </c>
      <c r="X27" s="323">
        <f t="shared" ca="1" si="55"/>
        <v>2</v>
      </c>
      <c r="Y27" s="323" t="str">
        <f>VLOOKUP($B27,overview_of_services!$B$2:$T$123,$Y$2,FALSE)</f>
        <v>cooling</v>
      </c>
      <c r="Z27" s="323">
        <f t="shared" ca="1" si="56"/>
        <v>80</v>
      </c>
      <c r="AA27" s="323">
        <f t="shared" ca="1" si="114"/>
        <v>3</v>
      </c>
      <c r="AB27" s="323">
        <f t="shared" ca="1" si="114"/>
        <v>0</v>
      </c>
      <c r="AC27" s="323">
        <f t="shared" ca="1" si="114"/>
        <v>0</v>
      </c>
      <c r="AD27" s="323">
        <f t="shared" ca="1" si="114"/>
        <v>0</v>
      </c>
      <c r="AE27" s="323">
        <f t="shared" ca="1" si="114"/>
        <v>0</v>
      </c>
      <c r="AF27" s="323">
        <f t="shared" ca="1" si="114"/>
        <v>0</v>
      </c>
      <c r="AG27" s="323">
        <f t="shared" ca="1" si="114"/>
        <v>0</v>
      </c>
      <c r="AH27" s="323">
        <f t="shared" ca="1" si="57"/>
        <v>78</v>
      </c>
      <c r="AI27" s="323">
        <f t="shared" ca="1" si="58"/>
        <v>0</v>
      </c>
      <c r="AJ27" s="323">
        <f t="shared" ca="1" si="58"/>
        <v>0</v>
      </c>
      <c r="AK27" s="323">
        <f t="shared" ca="1" si="58"/>
        <v>0</v>
      </c>
      <c r="AL27" s="323">
        <f t="shared" ca="1" si="58"/>
        <v>0</v>
      </c>
      <c r="AM27" s="323">
        <f t="shared" ca="1" si="58"/>
        <v>0</v>
      </c>
      <c r="AN27" s="323">
        <f t="shared" ca="1" si="58"/>
        <v>0</v>
      </c>
      <c r="AO27" s="323">
        <f t="shared" ca="1" si="58"/>
        <v>0</v>
      </c>
      <c r="AP27" s="324"/>
      <c r="AQ27" s="324" t="s">
        <v>973</v>
      </c>
      <c r="AR27" s="325">
        <f>VLOOKUP(Y27,_general!$A$65:$B$73,2,FALSE)+$AR$4</f>
        <v>56</v>
      </c>
      <c r="AS27" s="326">
        <f t="shared" ca="1" si="59"/>
        <v>9.3403132610521883E-2</v>
      </c>
      <c r="AT27" s="326">
        <f t="shared" ca="1" si="59"/>
        <v>8.7176257103153743E-2</v>
      </c>
      <c r="AU27" s="326">
        <f t="shared" ca="1" si="59"/>
        <v>0.13333333333333333</v>
      </c>
      <c r="AV27" s="326">
        <f t="shared" ca="1" si="59"/>
        <v>0.1</v>
      </c>
      <c r="AW27" s="326">
        <f t="shared" ca="1" si="59"/>
        <v>0</v>
      </c>
      <c r="AX27" s="326">
        <f t="shared" ca="1" si="59"/>
        <v>9.3403132610521883E-2</v>
      </c>
      <c r="AY27" s="326">
        <f t="shared" ca="1" si="59"/>
        <v>0.1142857142857143</v>
      </c>
      <c r="AZ27" s="429"/>
      <c r="BA27" s="427">
        <f t="shared" ca="1" si="89"/>
        <v>0.28020939783156562</v>
      </c>
      <c r="BB27" s="427">
        <f t="shared" ca="1" si="92"/>
        <v>0</v>
      </c>
      <c r="BC27" s="427">
        <f t="shared" ca="1" si="93"/>
        <v>0</v>
      </c>
      <c r="BD27" s="427">
        <f t="shared" ca="1" si="94"/>
        <v>0</v>
      </c>
      <c r="BE27" s="427">
        <f t="shared" ca="1" si="95"/>
        <v>0</v>
      </c>
      <c r="BF27" s="427">
        <f t="shared" ca="1" si="96"/>
        <v>0</v>
      </c>
      <c r="BG27" s="427">
        <f t="shared" ca="1" si="97"/>
        <v>0</v>
      </c>
      <c r="BH27" s="434"/>
      <c r="BI27" s="427">
        <f t="shared" si="90"/>
        <v>0</v>
      </c>
      <c r="BJ27" s="427">
        <f t="shared" si="98"/>
        <v>0</v>
      </c>
      <c r="BK27" s="427">
        <f t="shared" si="99"/>
        <v>0</v>
      </c>
      <c r="BL27" s="427">
        <f t="shared" si="100"/>
        <v>0</v>
      </c>
      <c r="BM27" s="427">
        <f t="shared" si="101"/>
        <v>0</v>
      </c>
      <c r="BN27" s="427">
        <f t="shared" si="102"/>
        <v>0</v>
      </c>
      <c r="BO27" s="427">
        <f t="shared" si="103"/>
        <v>0</v>
      </c>
      <c r="BP27" s="428">
        <f t="shared" si="72"/>
        <v>67</v>
      </c>
      <c r="BQ27" s="327">
        <f t="shared" ca="1" si="91"/>
        <v>4.6701566305260934E-2</v>
      </c>
      <c r="BR27" s="327">
        <f t="shared" ca="1" si="73"/>
        <v>0</v>
      </c>
      <c r="BS27" s="327">
        <f t="shared" ca="1" si="74"/>
        <v>0</v>
      </c>
      <c r="BT27" s="327">
        <f t="shared" ca="1" si="75"/>
        <v>0</v>
      </c>
      <c r="BU27" s="327">
        <f t="shared" ca="1" si="76"/>
        <v>0</v>
      </c>
      <c r="BV27" s="327">
        <f t="shared" ca="1" si="77"/>
        <v>0</v>
      </c>
      <c r="BW27" s="327">
        <f t="shared" ca="1" si="78"/>
        <v>0</v>
      </c>
      <c r="BY27" s="323" t="str">
        <f t="shared" si="79"/>
        <v>cooling</v>
      </c>
      <c r="BZ27" s="323">
        <f t="shared" ca="1" si="33"/>
        <v>80</v>
      </c>
      <c r="CA27" s="323">
        <f t="shared" ca="1" si="34"/>
        <v>3</v>
      </c>
      <c r="CB27" s="323">
        <f t="shared" ca="1" si="35"/>
        <v>0</v>
      </c>
      <c r="CC27" s="323">
        <f t="shared" ca="1" si="36"/>
        <v>0</v>
      </c>
      <c r="CD27" s="323">
        <f t="shared" ca="1" si="37"/>
        <v>0</v>
      </c>
      <c r="CE27" s="323">
        <f t="shared" ca="1" si="38"/>
        <v>0</v>
      </c>
      <c r="CF27" s="323">
        <f t="shared" ca="1" si="39"/>
        <v>0</v>
      </c>
      <c r="CG27" s="323">
        <f t="shared" ca="1" si="40"/>
        <v>0</v>
      </c>
      <c r="CI27" s="327">
        <f t="shared" ca="1" si="80"/>
        <v>0.28020939783156562</v>
      </c>
      <c r="CJ27" s="327">
        <f t="shared" ca="1" si="81"/>
        <v>0</v>
      </c>
      <c r="CK27" s="327">
        <f t="shared" ca="1" si="82"/>
        <v>0</v>
      </c>
      <c r="CL27" s="327">
        <f t="shared" ca="1" si="83"/>
        <v>0</v>
      </c>
      <c r="CM27" s="327">
        <f t="shared" ca="1" si="84"/>
        <v>0</v>
      </c>
      <c r="CN27" s="327">
        <f t="shared" ca="1" si="85"/>
        <v>0</v>
      </c>
      <c r="CO27" s="327">
        <f t="shared" ca="1" si="86"/>
        <v>0</v>
      </c>
      <c r="CP27" s="328">
        <f t="shared" si="87"/>
        <v>67</v>
      </c>
      <c r="CQ27" s="327">
        <f t="shared" ca="1" si="47"/>
        <v>4.6701566305260934E-2</v>
      </c>
      <c r="CR27" s="327">
        <f t="shared" ca="1" si="48"/>
        <v>0</v>
      </c>
      <c r="CS27" s="327">
        <f t="shared" ca="1" si="49"/>
        <v>0</v>
      </c>
      <c r="CT27" s="327">
        <f t="shared" ca="1" si="50"/>
        <v>0</v>
      </c>
      <c r="CU27" s="327">
        <f t="shared" ca="1" si="51"/>
        <v>0</v>
      </c>
      <c r="CV27" s="327">
        <f t="shared" ca="1" si="52"/>
        <v>0</v>
      </c>
      <c r="CW27" s="327">
        <f t="shared" ca="1" si="53"/>
        <v>0</v>
      </c>
      <c r="CY27" s="332"/>
      <c r="CZ27" s="332"/>
      <c r="DA27" s="332"/>
      <c r="DB27" s="332"/>
      <c r="DC27" s="332"/>
      <c r="DD27" s="332"/>
      <c r="DE27" s="332"/>
      <c r="DF27" s="417"/>
      <c r="DG27" s="417"/>
    </row>
    <row r="28" spans="1:111" s="329" customFormat="1" ht="29" x14ac:dyDescent="0.35">
      <c r="A28" s="302" t="s">
        <v>182</v>
      </c>
      <c r="B28" s="15" t="s">
        <v>206</v>
      </c>
      <c r="C28" s="15" t="s">
        <v>184</v>
      </c>
      <c r="D28" s="15" t="s">
        <v>207</v>
      </c>
      <c r="E28" s="411">
        <v>1</v>
      </c>
      <c r="F28" s="412">
        <v>1</v>
      </c>
      <c r="G28" s="411">
        <v>0</v>
      </c>
      <c r="H28" s="406">
        <f t="shared" si="88"/>
        <v>0</v>
      </c>
      <c r="I28" s="415" t="str">
        <f ca="1">IF(AND(O28=1,OR(E28="",E28&lt;0,E28&gt;W28,AND(H28&gt;0,OR(G28="",G28&lt;0,G28&gt;W28)),F28&gt;1,F28&lt;0)),_general!$A$83,"")</f>
        <v/>
      </c>
      <c r="J28" s="110" t="s">
        <v>71</v>
      </c>
      <c r="K28" s="110" t="s">
        <v>72</v>
      </c>
      <c r="L28" s="110" t="s">
        <v>73</v>
      </c>
      <c r="M28" s="110"/>
      <c r="N28" s="110"/>
      <c r="O28" s="48">
        <f ca="1">IF(AND(INDIRECT(ADDRESS(VLOOKUP(INDIRECT(ADDRESS(ROW(),25)),_general!$A$85:$B$92,2,),7,,,"Building Information"))="yes",'Building Information'!G76=_general!I38),1,0)</f>
        <v>1</v>
      </c>
      <c r="P28" s="111"/>
      <c r="Q28" s="111"/>
      <c r="R28" s="142" t="s">
        <v>863</v>
      </c>
      <c r="S28" s="142">
        <f>IF(OR('Building Information'!$G$46="yes",AND('Building Information'!$G$46="no",'Building Information'!$I$46=_general!$J$3)),1,0)</f>
        <v>1</v>
      </c>
      <c r="T28" s="142">
        <f t="shared" ca="1" si="24"/>
        <v>1</v>
      </c>
      <c r="U28" s="323">
        <f t="shared" ca="1" si="25"/>
        <v>1</v>
      </c>
      <c r="V28" s="323">
        <f t="shared" ca="1" si="54"/>
        <v>0</v>
      </c>
      <c r="W28" s="323">
        <f t="shared" si="26"/>
        <v>2</v>
      </c>
      <c r="X28" s="323">
        <f t="shared" ca="1" si="55"/>
        <v>2</v>
      </c>
      <c r="Y28" s="323" t="str">
        <f>VLOOKUP($B28,overview_of_services!$B$2:$T$123,$Y$2,FALSE)</f>
        <v>cooling</v>
      </c>
      <c r="Z28" s="323">
        <f t="shared" ca="1" si="56"/>
        <v>93</v>
      </c>
      <c r="AA28" s="323">
        <f t="shared" ca="1" si="114"/>
        <v>1</v>
      </c>
      <c r="AB28" s="323">
        <f t="shared" ca="1" si="114"/>
        <v>0</v>
      </c>
      <c r="AC28" s="323">
        <f t="shared" ca="1" si="114"/>
        <v>1</v>
      </c>
      <c r="AD28" s="323">
        <f t="shared" ca="1" si="114"/>
        <v>0</v>
      </c>
      <c r="AE28" s="323">
        <f t="shared" ca="1" si="114"/>
        <v>0</v>
      </c>
      <c r="AF28" s="323">
        <f t="shared" ca="1" si="114"/>
        <v>0</v>
      </c>
      <c r="AG28" s="323">
        <f t="shared" ca="1" si="114"/>
        <v>0</v>
      </c>
      <c r="AH28" s="323">
        <f t="shared" ca="1" si="57"/>
        <v>92</v>
      </c>
      <c r="AI28" s="323">
        <f t="shared" ca="1" si="58"/>
        <v>0</v>
      </c>
      <c r="AJ28" s="323">
        <f t="shared" ca="1" si="58"/>
        <v>0</v>
      </c>
      <c r="AK28" s="323">
        <f t="shared" ca="1" si="58"/>
        <v>0</v>
      </c>
      <c r="AL28" s="323">
        <f t="shared" ca="1" si="58"/>
        <v>0</v>
      </c>
      <c r="AM28" s="323">
        <f t="shared" ca="1" si="58"/>
        <v>0</v>
      </c>
      <c r="AN28" s="323">
        <f t="shared" ca="1" si="58"/>
        <v>0</v>
      </c>
      <c r="AO28" s="323">
        <f t="shared" ca="1" si="58"/>
        <v>0</v>
      </c>
      <c r="AP28" s="324"/>
      <c r="AQ28" s="324" t="s">
        <v>973</v>
      </c>
      <c r="AR28" s="325">
        <f>VLOOKUP(Y28,_general!$A$65:$B$73,2,FALSE)+$AR$4</f>
        <v>56</v>
      </c>
      <c r="AS28" s="326">
        <f t="shared" ca="1" si="59"/>
        <v>9.3403132610521883E-2</v>
      </c>
      <c r="AT28" s="326">
        <f t="shared" ca="1" si="59"/>
        <v>8.7176257103153743E-2</v>
      </c>
      <c r="AU28" s="326">
        <f t="shared" ca="1" si="59"/>
        <v>0.13333333333333333</v>
      </c>
      <c r="AV28" s="326">
        <f t="shared" ca="1" si="59"/>
        <v>0.1</v>
      </c>
      <c r="AW28" s="326">
        <f t="shared" ca="1" si="59"/>
        <v>0</v>
      </c>
      <c r="AX28" s="326">
        <f t="shared" ca="1" si="59"/>
        <v>9.3403132610521883E-2</v>
      </c>
      <c r="AY28" s="326">
        <f t="shared" ca="1" si="59"/>
        <v>0.1142857142857143</v>
      </c>
      <c r="AZ28" s="429"/>
      <c r="BA28" s="427">
        <f t="shared" ca="1" si="89"/>
        <v>9.3403132610521883E-2</v>
      </c>
      <c r="BB28" s="427">
        <f t="shared" ca="1" si="92"/>
        <v>0</v>
      </c>
      <c r="BC28" s="427">
        <f t="shared" ca="1" si="93"/>
        <v>0.13333333333333333</v>
      </c>
      <c r="BD28" s="427">
        <f t="shared" ca="1" si="94"/>
        <v>0</v>
      </c>
      <c r="BE28" s="427">
        <f t="shared" ca="1" si="95"/>
        <v>0</v>
      </c>
      <c r="BF28" s="427">
        <f t="shared" ca="1" si="96"/>
        <v>0</v>
      </c>
      <c r="BG28" s="427">
        <f t="shared" ca="1" si="97"/>
        <v>0</v>
      </c>
      <c r="BH28" s="434"/>
      <c r="BI28" s="427">
        <f t="shared" si="90"/>
        <v>0</v>
      </c>
      <c r="BJ28" s="427">
        <f t="shared" si="98"/>
        <v>0</v>
      </c>
      <c r="BK28" s="427">
        <f t="shared" si="99"/>
        <v>0</v>
      </c>
      <c r="BL28" s="427">
        <f t="shared" si="100"/>
        <v>0</v>
      </c>
      <c r="BM28" s="427">
        <f t="shared" si="101"/>
        <v>0</v>
      </c>
      <c r="BN28" s="427">
        <f t="shared" si="102"/>
        <v>0</v>
      </c>
      <c r="BO28" s="427">
        <f t="shared" si="103"/>
        <v>0</v>
      </c>
      <c r="BP28" s="428">
        <f t="shared" si="72"/>
        <v>67</v>
      </c>
      <c r="BQ28" s="327">
        <f t="shared" ca="1" si="91"/>
        <v>1.5567188768420313E-2</v>
      </c>
      <c r="BR28" s="327">
        <f t="shared" ca="1" si="73"/>
        <v>0</v>
      </c>
      <c r="BS28" s="327">
        <f t="shared" ca="1" si="74"/>
        <v>1.111111111111111E-2</v>
      </c>
      <c r="BT28" s="327">
        <f t="shared" ca="1" si="75"/>
        <v>0</v>
      </c>
      <c r="BU28" s="327">
        <f t="shared" ca="1" si="76"/>
        <v>0</v>
      </c>
      <c r="BV28" s="327">
        <f t="shared" ca="1" si="77"/>
        <v>0</v>
      </c>
      <c r="BW28" s="327">
        <f t="shared" ca="1" si="78"/>
        <v>0</v>
      </c>
      <c r="BY28" s="323" t="str">
        <f t="shared" si="79"/>
        <v>cooling</v>
      </c>
      <c r="BZ28" s="323">
        <f t="shared" ca="1" si="33"/>
        <v>94</v>
      </c>
      <c r="CA28" s="323">
        <f t="shared" ca="1" si="34"/>
        <v>2</v>
      </c>
      <c r="CB28" s="323">
        <f t="shared" ca="1" si="35"/>
        <v>0</v>
      </c>
      <c r="CC28" s="323">
        <f t="shared" ca="1" si="36"/>
        <v>1</v>
      </c>
      <c r="CD28" s="323">
        <f t="shared" ca="1" si="37"/>
        <v>0</v>
      </c>
      <c r="CE28" s="323">
        <f t="shared" ca="1" si="38"/>
        <v>0</v>
      </c>
      <c r="CF28" s="323">
        <f t="shared" ca="1" si="39"/>
        <v>0</v>
      </c>
      <c r="CG28" s="323">
        <f t="shared" ca="1" si="40"/>
        <v>0</v>
      </c>
      <c r="CI28" s="327">
        <f t="shared" ca="1" si="80"/>
        <v>0.18680626522104377</v>
      </c>
      <c r="CJ28" s="327">
        <f t="shared" ca="1" si="81"/>
        <v>0</v>
      </c>
      <c r="CK28" s="327">
        <f t="shared" ca="1" si="82"/>
        <v>0.13333333333333333</v>
      </c>
      <c r="CL28" s="327">
        <f t="shared" ca="1" si="83"/>
        <v>0</v>
      </c>
      <c r="CM28" s="327">
        <f t="shared" ca="1" si="84"/>
        <v>0</v>
      </c>
      <c r="CN28" s="327">
        <f t="shared" ca="1" si="85"/>
        <v>0</v>
      </c>
      <c r="CO28" s="327">
        <f t="shared" ca="1" si="86"/>
        <v>0</v>
      </c>
      <c r="CP28" s="328">
        <f t="shared" si="87"/>
        <v>67</v>
      </c>
      <c r="CQ28" s="327">
        <f t="shared" ca="1" si="47"/>
        <v>3.1134377536840625E-2</v>
      </c>
      <c r="CR28" s="327">
        <f t="shared" ca="1" si="48"/>
        <v>0</v>
      </c>
      <c r="CS28" s="327">
        <f t="shared" ca="1" si="49"/>
        <v>1.111111111111111E-2</v>
      </c>
      <c r="CT28" s="327">
        <f t="shared" ca="1" si="50"/>
        <v>0</v>
      </c>
      <c r="CU28" s="327">
        <f t="shared" ca="1" si="51"/>
        <v>0</v>
      </c>
      <c r="CV28" s="327">
        <f t="shared" ca="1" si="52"/>
        <v>0</v>
      </c>
      <c r="CW28" s="327">
        <f t="shared" ca="1" si="53"/>
        <v>0</v>
      </c>
      <c r="CY28" s="332"/>
      <c r="CZ28" s="332"/>
      <c r="DA28" s="332"/>
      <c r="DB28" s="332"/>
      <c r="DC28" s="332"/>
      <c r="DD28" s="332"/>
      <c r="DE28" s="332"/>
      <c r="DF28" s="417"/>
      <c r="DG28" s="417"/>
    </row>
    <row r="29" spans="1:111" s="329" customFormat="1" ht="43.5" x14ac:dyDescent="0.35">
      <c r="A29" s="302" t="s">
        <v>182</v>
      </c>
      <c r="B29" s="15" t="s">
        <v>210</v>
      </c>
      <c r="C29" s="15" t="s">
        <v>211</v>
      </c>
      <c r="D29" s="15" t="s">
        <v>212</v>
      </c>
      <c r="E29" s="411">
        <v>2</v>
      </c>
      <c r="F29" s="412">
        <v>1</v>
      </c>
      <c r="G29" s="411">
        <v>0</v>
      </c>
      <c r="H29" s="406">
        <f t="shared" si="88"/>
        <v>0</v>
      </c>
      <c r="I29" s="415" t="str">
        <f ca="1">IF(AND(O29=1,OR(E29="",E29&lt;0,E29&gt;W29,AND(H29&gt;0,OR(G29="",G29&lt;0,G29&gt;W29)),F29&gt;1,F29&lt;0)),_general!$A$83,"")</f>
        <v/>
      </c>
      <c r="J29" s="110" t="s">
        <v>86</v>
      </c>
      <c r="K29" s="110" t="s">
        <v>87</v>
      </c>
      <c r="L29" s="110" t="s">
        <v>213</v>
      </c>
      <c r="M29" s="110"/>
      <c r="N29" s="110"/>
      <c r="O29" s="48">
        <f ca="1">IF(INDIRECT(ADDRESS(VLOOKUP(INDIRECT(ADDRESS(ROW(),25)),_general!$A$85:$B$92,2,),7,,,"Building Information"))="yes",1,0)</f>
        <v>1</v>
      </c>
      <c r="P29" s="111"/>
      <c r="Q29" s="111"/>
      <c r="R29" s="142" t="s">
        <v>978</v>
      </c>
      <c r="S29" s="142">
        <f>IF(OR('Building Information'!$G$46="yes",AND('Building Information'!$G$46="no",'Building Information'!$I$46=_general!$J$3)),1,0)</f>
        <v>1</v>
      </c>
      <c r="T29" s="142">
        <f t="shared" ca="1" si="24"/>
        <v>1</v>
      </c>
      <c r="U29" s="323">
        <f t="shared" ca="1" si="25"/>
        <v>2</v>
      </c>
      <c r="V29" s="323">
        <f t="shared" ca="1" si="54"/>
        <v>0</v>
      </c>
      <c r="W29" s="323">
        <f t="shared" si="26"/>
        <v>2</v>
      </c>
      <c r="X29" s="323">
        <f t="shared" ca="1" si="55"/>
        <v>2</v>
      </c>
      <c r="Y29" s="323" t="str">
        <f>VLOOKUP($B29,overview_of_services!$B$2:$T$123,$Y$2,FALSE)</f>
        <v>cooling</v>
      </c>
      <c r="Z29" s="323">
        <f t="shared" ca="1" si="56"/>
        <v>109</v>
      </c>
      <c r="AA29" s="323">
        <f t="shared" ca="1" si="114"/>
        <v>2</v>
      </c>
      <c r="AB29" s="323">
        <f t="shared" ca="1" si="114"/>
        <v>0</v>
      </c>
      <c r="AC29" s="323">
        <f t="shared" ca="1" si="114"/>
        <v>2</v>
      </c>
      <c r="AD29" s="323">
        <f t="shared" ca="1" si="114"/>
        <v>0</v>
      </c>
      <c r="AE29" s="323">
        <f t="shared" ca="1" si="114"/>
        <v>0</v>
      </c>
      <c r="AF29" s="323">
        <f t="shared" ca="1" si="114"/>
        <v>0</v>
      </c>
      <c r="AG29" s="323">
        <f t="shared" ca="1" si="114"/>
        <v>0</v>
      </c>
      <c r="AH29" s="323">
        <f t="shared" ca="1" si="57"/>
        <v>107</v>
      </c>
      <c r="AI29" s="323">
        <f t="shared" ca="1" si="58"/>
        <v>0</v>
      </c>
      <c r="AJ29" s="323">
        <f t="shared" ca="1" si="58"/>
        <v>0</v>
      </c>
      <c r="AK29" s="323">
        <f t="shared" ca="1" si="58"/>
        <v>0</v>
      </c>
      <c r="AL29" s="323">
        <f t="shared" ca="1" si="58"/>
        <v>0</v>
      </c>
      <c r="AM29" s="323">
        <f t="shared" ca="1" si="58"/>
        <v>0</v>
      </c>
      <c r="AN29" s="323">
        <f t="shared" ca="1" si="58"/>
        <v>0</v>
      </c>
      <c r="AO29" s="323">
        <f t="shared" ca="1" si="58"/>
        <v>0</v>
      </c>
      <c r="AP29" s="324"/>
      <c r="AQ29" s="324" t="s">
        <v>973</v>
      </c>
      <c r="AR29" s="325">
        <f>VLOOKUP(Y29,_general!$A$65:$B$73,2,FALSE)+$AR$4</f>
        <v>56</v>
      </c>
      <c r="AS29" s="326">
        <f t="shared" ca="1" si="59"/>
        <v>9.3403132610521883E-2</v>
      </c>
      <c r="AT29" s="326">
        <f t="shared" ca="1" si="59"/>
        <v>8.7176257103153743E-2</v>
      </c>
      <c r="AU29" s="326">
        <f t="shared" ca="1" si="59"/>
        <v>0.13333333333333333</v>
      </c>
      <c r="AV29" s="326">
        <f t="shared" ca="1" si="59"/>
        <v>0.1</v>
      </c>
      <c r="AW29" s="326">
        <f t="shared" ca="1" si="59"/>
        <v>0</v>
      </c>
      <c r="AX29" s="326">
        <f t="shared" ca="1" si="59"/>
        <v>9.3403132610521883E-2</v>
      </c>
      <c r="AY29" s="326">
        <f t="shared" ca="1" si="59"/>
        <v>0.1142857142857143</v>
      </c>
      <c r="AZ29" s="429"/>
      <c r="BA29" s="427">
        <f t="shared" ca="1" si="89"/>
        <v>0.18680626522104377</v>
      </c>
      <c r="BB29" s="427">
        <f t="shared" ca="1" si="92"/>
        <v>0</v>
      </c>
      <c r="BC29" s="427">
        <f t="shared" ca="1" si="93"/>
        <v>0.26666666666666666</v>
      </c>
      <c r="BD29" s="427">
        <f t="shared" ca="1" si="94"/>
        <v>0</v>
      </c>
      <c r="BE29" s="427">
        <f t="shared" ca="1" si="95"/>
        <v>0</v>
      </c>
      <c r="BF29" s="427">
        <f t="shared" ca="1" si="96"/>
        <v>0</v>
      </c>
      <c r="BG29" s="427">
        <f t="shared" ca="1" si="97"/>
        <v>0</v>
      </c>
      <c r="BH29" s="434"/>
      <c r="BI29" s="427">
        <f t="shared" si="90"/>
        <v>0</v>
      </c>
      <c r="BJ29" s="427">
        <f t="shared" si="98"/>
        <v>0</v>
      </c>
      <c r="BK29" s="427">
        <f t="shared" si="99"/>
        <v>0</v>
      </c>
      <c r="BL29" s="427">
        <f t="shared" si="100"/>
        <v>0</v>
      </c>
      <c r="BM29" s="427">
        <f t="shared" si="101"/>
        <v>0</v>
      </c>
      <c r="BN29" s="427">
        <f t="shared" si="102"/>
        <v>0</v>
      </c>
      <c r="BO29" s="427">
        <f t="shared" si="103"/>
        <v>0</v>
      </c>
      <c r="BP29" s="428">
        <f t="shared" si="72"/>
        <v>67</v>
      </c>
      <c r="BQ29" s="327">
        <f t="shared" ca="1" si="91"/>
        <v>3.1134377536840625E-2</v>
      </c>
      <c r="BR29" s="327">
        <f t="shared" ca="1" si="73"/>
        <v>0</v>
      </c>
      <c r="BS29" s="327">
        <f t="shared" ca="1" si="74"/>
        <v>2.222222222222222E-2</v>
      </c>
      <c r="BT29" s="327">
        <f t="shared" ca="1" si="75"/>
        <v>0</v>
      </c>
      <c r="BU29" s="327">
        <f t="shared" ca="1" si="76"/>
        <v>0</v>
      </c>
      <c r="BV29" s="327">
        <f t="shared" ca="1" si="77"/>
        <v>0</v>
      </c>
      <c r="BW29" s="327">
        <f t="shared" ca="1" si="78"/>
        <v>0</v>
      </c>
      <c r="BY29" s="323" t="str">
        <f t="shared" si="79"/>
        <v>cooling</v>
      </c>
      <c r="BZ29" s="323">
        <f t="shared" ca="1" si="33"/>
        <v>109</v>
      </c>
      <c r="CA29" s="323">
        <f t="shared" ca="1" si="34"/>
        <v>2</v>
      </c>
      <c r="CB29" s="323">
        <f t="shared" ca="1" si="35"/>
        <v>0</v>
      </c>
      <c r="CC29" s="323">
        <f t="shared" ca="1" si="36"/>
        <v>2</v>
      </c>
      <c r="CD29" s="323">
        <f t="shared" ca="1" si="37"/>
        <v>0</v>
      </c>
      <c r="CE29" s="323">
        <f t="shared" ca="1" si="38"/>
        <v>0</v>
      </c>
      <c r="CF29" s="323">
        <f t="shared" ca="1" si="39"/>
        <v>0</v>
      </c>
      <c r="CG29" s="323">
        <f t="shared" ca="1" si="40"/>
        <v>0</v>
      </c>
      <c r="CI29" s="327">
        <f t="shared" ca="1" si="80"/>
        <v>0.18680626522104377</v>
      </c>
      <c r="CJ29" s="327">
        <f t="shared" ca="1" si="81"/>
        <v>0</v>
      </c>
      <c r="CK29" s="327">
        <f t="shared" ca="1" si="82"/>
        <v>0.26666666666666666</v>
      </c>
      <c r="CL29" s="327">
        <f t="shared" ca="1" si="83"/>
        <v>0</v>
      </c>
      <c r="CM29" s="327">
        <f t="shared" ca="1" si="84"/>
        <v>0</v>
      </c>
      <c r="CN29" s="327">
        <f t="shared" ca="1" si="85"/>
        <v>0</v>
      </c>
      <c r="CO29" s="327">
        <f t="shared" ca="1" si="86"/>
        <v>0</v>
      </c>
      <c r="CP29" s="328">
        <f t="shared" si="87"/>
        <v>67</v>
      </c>
      <c r="CQ29" s="327">
        <f t="shared" ca="1" si="47"/>
        <v>3.1134377536840625E-2</v>
      </c>
      <c r="CR29" s="327">
        <f t="shared" ca="1" si="48"/>
        <v>0</v>
      </c>
      <c r="CS29" s="327">
        <f t="shared" ca="1" si="49"/>
        <v>2.222222222222222E-2</v>
      </c>
      <c r="CT29" s="327">
        <f t="shared" ca="1" si="50"/>
        <v>0</v>
      </c>
      <c r="CU29" s="327">
        <f t="shared" ca="1" si="51"/>
        <v>0</v>
      </c>
      <c r="CV29" s="327">
        <f t="shared" ca="1" si="52"/>
        <v>0</v>
      </c>
      <c r="CW29" s="327">
        <f t="shared" ca="1" si="53"/>
        <v>0</v>
      </c>
      <c r="CY29" s="332"/>
      <c r="CZ29" s="332"/>
      <c r="DA29" s="332"/>
      <c r="DB29" s="332"/>
      <c r="DC29" s="332"/>
      <c r="DD29" s="332"/>
      <c r="DE29" s="332"/>
      <c r="DF29" s="417"/>
      <c r="DG29" s="417"/>
    </row>
    <row r="30" spans="1:111" s="329" customFormat="1" ht="43.5" x14ac:dyDescent="0.35">
      <c r="A30" s="302" t="s">
        <v>182</v>
      </c>
      <c r="B30" s="15" t="s">
        <v>214</v>
      </c>
      <c r="C30" s="15" t="s">
        <v>211</v>
      </c>
      <c r="D30" s="15" t="s">
        <v>215</v>
      </c>
      <c r="E30" s="411">
        <v>1</v>
      </c>
      <c r="F30" s="412">
        <v>1</v>
      </c>
      <c r="G30" s="411">
        <v>0</v>
      </c>
      <c r="H30" s="406">
        <f t="shared" si="88"/>
        <v>0</v>
      </c>
      <c r="I30" s="415" t="str">
        <f ca="1">IF(AND(O30=1,OR(E30="",E30&lt;0,E30&gt;W30,AND(H30&gt;0,OR(G30="",G30&lt;0,G30&gt;W30)),F30&gt;1,F30&lt;0)),_general!$A$83,"")</f>
        <v/>
      </c>
      <c r="J30" s="110" t="s">
        <v>216</v>
      </c>
      <c r="K30" s="110" t="s">
        <v>217</v>
      </c>
      <c r="L30" s="110" t="s">
        <v>218</v>
      </c>
      <c r="M30" s="110" t="s">
        <v>104</v>
      </c>
      <c r="N30" s="110"/>
      <c r="O30" s="48">
        <f ca="1">IF(AND(INDIRECT(ADDRESS(VLOOKUP(INDIRECT(ADDRESS(ROW(),25)),_general!$A$85:$B$92,2,),7,,,"Building Information"))="yes",'Building Information'!G77=_general!I42),1,0)</f>
        <v>1</v>
      </c>
      <c r="P30" s="111"/>
      <c r="Q30" s="111"/>
      <c r="R30" s="142" t="s">
        <v>863</v>
      </c>
      <c r="S30" s="142">
        <f>IF(OR('Building Information'!$G$46="yes",AND('Building Information'!$G$46="no",'Building Information'!$I$46=_general!$J$3)),1,0)</f>
        <v>1</v>
      </c>
      <c r="T30" s="142">
        <f t="shared" ca="1" si="24"/>
        <v>1</v>
      </c>
      <c r="U30" s="323">
        <f t="shared" ca="1" si="25"/>
        <v>1</v>
      </c>
      <c r="V30" s="323">
        <f t="shared" ca="1" si="54"/>
        <v>0</v>
      </c>
      <c r="W30" s="323">
        <f t="shared" si="26"/>
        <v>3</v>
      </c>
      <c r="X30" s="323">
        <f t="shared" ca="1" si="55"/>
        <v>3</v>
      </c>
      <c r="Y30" s="323" t="str">
        <f>VLOOKUP($B30,overview_of_services!$B$2:$T$123,$Y$2,FALSE)</f>
        <v>cooling</v>
      </c>
      <c r="Z30" s="323">
        <f t="shared" ca="1" si="56"/>
        <v>122</v>
      </c>
      <c r="AA30" s="323">
        <f t="shared" ca="1" si="114"/>
        <v>1</v>
      </c>
      <c r="AB30" s="323">
        <f t="shared" ca="1" si="114"/>
        <v>1</v>
      </c>
      <c r="AC30" s="323">
        <f t="shared" ca="1" si="114"/>
        <v>0</v>
      </c>
      <c r="AD30" s="323">
        <f t="shared" ca="1" si="114"/>
        <v>0</v>
      </c>
      <c r="AE30" s="323">
        <f t="shared" ca="1" si="114"/>
        <v>0</v>
      </c>
      <c r="AF30" s="323">
        <f t="shared" ca="1" si="114"/>
        <v>0</v>
      </c>
      <c r="AG30" s="323">
        <f t="shared" ca="1" si="114"/>
        <v>0</v>
      </c>
      <c r="AH30" s="323">
        <f t="shared" ca="1" si="57"/>
        <v>121</v>
      </c>
      <c r="AI30" s="323">
        <f t="shared" ca="1" si="58"/>
        <v>0</v>
      </c>
      <c r="AJ30" s="323">
        <f t="shared" ca="1" si="58"/>
        <v>0</v>
      </c>
      <c r="AK30" s="323">
        <f t="shared" ca="1" si="58"/>
        <v>0</v>
      </c>
      <c r="AL30" s="323">
        <f t="shared" ca="1" si="58"/>
        <v>0</v>
      </c>
      <c r="AM30" s="323">
        <f t="shared" ca="1" si="58"/>
        <v>0</v>
      </c>
      <c r="AN30" s="323">
        <f t="shared" ca="1" si="58"/>
        <v>0</v>
      </c>
      <c r="AO30" s="323">
        <f t="shared" ca="1" si="58"/>
        <v>0</v>
      </c>
      <c r="AP30" s="324"/>
      <c r="AQ30" s="324" t="s">
        <v>973</v>
      </c>
      <c r="AR30" s="325">
        <f>VLOOKUP(Y30,_general!$A$65:$B$73,2,FALSE)+$AR$4</f>
        <v>56</v>
      </c>
      <c r="AS30" s="326">
        <f t="shared" ca="1" si="59"/>
        <v>9.3403132610521883E-2</v>
      </c>
      <c r="AT30" s="326">
        <f t="shared" ca="1" si="59"/>
        <v>8.7176257103153743E-2</v>
      </c>
      <c r="AU30" s="326">
        <f t="shared" ca="1" si="59"/>
        <v>0.13333333333333333</v>
      </c>
      <c r="AV30" s="326">
        <f t="shared" ca="1" si="59"/>
        <v>0.1</v>
      </c>
      <c r="AW30" s="326">
        <f t="shared" ca="1" si="59"/>
        <v>0</v>
      </c>
      <c r="AX30" s="326">
        <f t="shared" ca="1" si="59"/>
        <v>9.3403132610521883E-2</v>
      </c>
      <c r="AY30" s="326">
        <f t="shared" ca="1" si="59"/>
        <v>0.1142857142857143</v>
      </c>
      <c r="AZ30" s="429"/>
      <c r="BA30" s="427">
        <f t="shared" ca="1" si="89"/>
        <v>9.3403132610521883E-2</v>
      </c>
      <c r="BB30" s="427">
        <f t="shared" ca="1" si="92"/>
        <v>8.7176257103153743E-2</v>
      </c>
      <c r="BC30" s="427">
        <f t="shared" ca="1" si="93"/>
        <v>0</v>
      </c>
      <c r="BD30" s="427">
        <f t="shared" ca="1" si="94"/>
        <v>0</v>
      </c>
      <c r="BE30" s="427">
        <f t="shared" ca="1" si="95"/>
        <v>0</v>
      </c>
      <c r="BF30" s="427">
        <f t="shared" ca="1" si="96"/>
        <v>0</v>
      </c>
      <c r="BG30" s="427">
        <f t="shared" ca="1" si="97"/>
        <v>0</v>
      </c>
      <c r="BH30" s="434"/>
      <c r="BI30" s="427">
        <f t="shared" si="90"/>
        <v>0</v>
      </c>
      <c r="BJ30" s="427">
        <f t="shared" si="98"/>
        <v>0</v>
      </c>
      <c r="BK30" s="427">
        <f t="shared" si="99"/>
        <v>0</v>
      </c>
      <c r="BL30" s="427">
        <f t="shared" si="100"/>
        <v>0</v>
      </c>
      <c r="BM30" s="427">
        <f t="shared" si="101"/>
        <v>0</v>
      </c>
      <c r="BN30" s="427">
        <f t="shared" si="102"/>
        <v>0</v>
      </c>
      <c r="BO30" s="427">
        <f t="shared" si="103"/>
        <v>0</v>
      </c>
      <c r="BP30" s="428">
        <f t="shared" si="72"/>
        <v>67</v>
      </c>
      <c r="BQ30" s="327">
        <f t="shared" ca="1" si="91"/>
        <v>1.5567188768420313E-2</v>
      </c>
      <c r="BR30" s="327">
        <f t="shared" ca="1" si="73"/>
        <v>2.9058752367717912E-2</v>
      </c>
      <c r="BS30" s="327">
        <f t="shared" ca="1" si="74"/>
        <v>0</v>
      </c>
      <c r="BT30" s="327">
        <f t="shared" ca="1" si="75"/>
        <v>0</v>
      </c>
      <c r="BU30" s="327">
        <f t="shared" ca="1" si="76"/>
        <v>0</v>
      </c>
      <c r="BV30" s="327">
        <f t="shared" ca="1" si="77"/>
        <v>0</v>
      </c>
      <c r="BW30" s="327">
        <f t="shared" ca="1" si="78"/>
        <v>0</v>
      </c>
      <c r="BY30" s="323" t="str">
        <f t="shared" si="79"/>
        <v>cooling</v>
      </c>
      <c r="BZ30" s="323">
        <f t="shared" ca="1" si="33"/>
        <v>124</v>
      </c>
      <c r="CA30" s="323">
        <f t="shared" ca="1" si="34"/>
        <v>1</v>
      </c>
      <c r="CB30" s="323">
        <f t="shared" ca="1" si="35"/>
        <v>1</v>
      </c>
      <c r="CC30" s="323">
        <f t="shared" ca="1" si="36"/>
        <v>0</v>
      </c>
      <c r="CD30" s="323">
        <f t="shared" ca="1" si="37"/>
        <v>0</v>
      </c>
      <c r="CE30" s="323">
        <f t="shared" ca="1" si="38"/>
        <v>0</v>
      </c>
      <c r="CF30" s="323">
        <f t="shared" ca="1" si="39"/>
        <v>0</v>
      </c>
      <c r="CG30" s="323">
        <f t="shared" ca="1" si="40"/>
        <v>0</v>
      </c>
      <c r="CI30" s="327">
        <f t="shared" ca="1" si="80"/>
        <v>9.3403132610521883E-2</v>
      </c>
      <c r="CJ30" s="327">
        <f t="shared" ca="1" si="81"/>
        <v>8.7176257103153743E-2</v>
      </c>
      <c r="CK30" s="327">
        <f t="shared" ca="1" si="82"/>
        <v>0</v>
      </c>
      <c r="CL30" s="327">
        <f t="shared" ca="1" si="83"/>
        <v>0</v>
      </c>
      <c r="CM30" s="327">
        <f t="shared" ca="1" si="84"/>
        <v>0</v>
      </c>
      <c r="CN30" s="327">
        <f t="shared" ca="1" si="85"/>
        <v>0</v>
      </c>
      <c r="CO30" s="327">
        <f t="shared" ca="1" si="86"/>
        <v>0</v>
      </c>
      <c r="CP30" s="328">
        <f t="shared" si="87"/>
        <v>67</v>
      </c>
      <c r="CQ30" s="327">
        <f t="shared" ca="1" si="47"/>
        <v>1.5567188768420313E-2</v>
      </c>
      <c r="CR30" s="327">
        <f t="shared" ca="1" si="48"/>
        <v>2.9058752367717912E-2</v>
      </c>
      <c r="CS30" s="327">
        <f t="shared" ca="1" si="49"/>
        <v>0</v>
      </c>
      <c r="CT30" s="327">
        <f t="shared" ca="1" si="50"/>
        <v>0</v>
      </c>
      <c r="CU30" s="327">
        <f t="shared" ca="1" si="51"/>
        <v>0</v>
      </c>
      <c r="CV30" s="327">
        <f t="shared" ca="1" si="52"/>
        <v>0</v>
      </c>
      <c r="CW30" s="327">
        <f t="shared" ca="1" si="53"/>
        <v>0</v>
      </c>
      <c r="CY30" s="332"/>
      <c r="CZ30" s="332"/>
      <c r="DA30" s="332"/>
      <c r="DB30" s="332"/>
      <c r="DC30" s="332"/>
      <c r="DD30" s="332"/>
      <c r="DE30" s="332"/>
      <c r="DF30" s="417"/>
      <c r="DG30" s="417"/>
    </row>
    <row r="31" spans="1:111" s="329" customFormat="1" ht="58" x14ac:dyDescent="0.35">
      <c r="A31" s="302" t="s">
        <v>182</v>
      </c>
      <c r="B31" s="15" t="s">
        <v>220</v>
      </c>
      <c r="C31" s="15" t="s">
        <v>125</v>
      </c>
      <c r="D31" s="15" t="s">
        <v>221</v>
      </c>
      <c r="E31" s="411">
        <v>3</v>
      </c>
      <c r="F31" s="412">
        <v>1</v>
      </c>
      <c r="G31" s="411">
        <v>0</v>
      </c>
      <c r="H31" s="406">
        <f t="shared" si="88"/>
        <v>0</v>
      </c>
      <c r="I31" s="415" t="str">
        <f ca="1">IF(AND(O31=1,OR(E31="",E31&lt;0,E31&gt;W31,AND(H31&gt;0,OR(G31="",G31&lt;0,G31&gt;W31)),F31&gt;1,F31&lt;0)),_general!$A$83,"")</f>
        <v/>
      </c>
      <c r="J31" s="110" t="s">
        <v>81</v>
      </c>
      <c r="K31" s="110" t="s">
        <v>127</v>
      </c>
      <c r="L31" s="110" t="s">
        <v>128</v>
      </c>
      <c r="M31" s="110" t="s">
        <v>129</v>
      </c>
      <c r="N31" s="110" t="s">
        <v>130</v>
      </c>
      <c r="O31" s="48">
        <f ca="1">IF(INDIRECT(ADDRESS(VLOOKUP(INDIRECT(ADDRESS(ROW(),25)),_general!$A$85:$B$92,2,),7,,,"Building Information"))="yes",1,0)</f>
        <v>1</v>
      </c>
      <c r="P31" s="111"/>
      <c r="Q31" s="111"/>
      <c r="R31" s="142" t="s">
        <v>978</v>
      </c>
      <c r="S31" s="142">
        <f>IF(OR('Building Information'!$G$46="yes",AND('Building Information'!$G$46="no",'Building Information'!$I$46=_general!$J$3)),1,0)</f>
        <v>1</v>
      </c>
      <c r="T31" s="142">
        <f t="shared" ca="1" si="24"/>
        <v>1</v>
      </c>
      <c r="U31" s="323">
        <f t="shared" ca="1" si="25"/>
        <v>3</v>
      </c>
      <c r="V31" s="323">
        <f t="shared" ca="1" si="54"/>
        <v>0</v>
      </c>
      <c r="W31" s="323">
        <f t="shared" si="26"/>
        <v>4</v>
      </c>
      <c r="X31" s="323">
        <f t="shared" ca="1" si="55"/>
        <v>4</v>
      </c>
      <c r="Y31" s="323" t="str">
        <f>VLOOKUP($B31,overview_of_services!$B$2:$T$123,$Y$2,FALSE)</f>
        <v>cooling</v>
      </c>
      <c r="Z31" s="323">
        <f t="shared" ca="1" si="56"/>
        <v>138</v>
      </c>
      <c r="AA31" s="323">
        <f t="shared" ca="1" si="114"/>
        <v>1</v>
      </c>
      <c r="AB31" s="323">
        <f t="shared" ca="1" si="114"/>
        <v>0</v>
      </c>
      <c r="AC31" s="323">
        <f t="shared" ca="1" si="114"/>
        <v>0</v>
      </c>
      <c r="AD31" s="323">
        <f t="shared" ca="1" si="114"/>
        <v>0</v>
      </c>
      <c r="AE31" s="323">
        <f t="shared" ca="1" si="114"/>
        <v>0</v>
      </c>
      <c r="AF31" s="323">
        <f t="shared" ca="1" si="114"/>
        <v>1</v>
      </c>
      <c r="AG31" s="323">
        <f t="shared" ca="1" si="114"/>
        <v>3</v>
      </c>
      <c r="AH31" s="323">
        <f t="shared" ca="1" si="57"/>
        <v>135</v>
      </c>
      <c r="AI31" s="323">
        <f t="shared" ca="1" si="58"/>
        <v>0</v>
      </c>
      <c r="AJ31" s="323">
        <f t="shared" ca="1" si="58"/>
        <v>0</v>
      </c>
      <c r="AK31" s="323">
        <f t="shared" ca="1" si="58"/>
        <v>0</v>
      </c>
      <c r="AL31" s="323">
        <f t="shared" ca="1" si="58"/>
        <v>0</v>
      </c>
      <c r="AM31" s="323">
        <f t="shared" ca="1" si="58"/>
        <v>0</v>
      </c>
      <c r="AN31" s="323">
        <f t="shared" ca="1" si="58"/>
        <v>0</v>
      </c>
      <c r="AO31" s="323">
        <f t="shared" ca="1" si="58"/>
        <v>0</v>
      </c>
      <c r="AP31" s="324"/>
      <c r="AQ31" s="324" t="s">
        <v>973</v>
      </c>
      <c r="AR31" s="325">
        <f>VLOOKUP(Y31,_general!$A$65:$B$73,2,FALSE)+$AR$4</f>
        <v>56</v>
      </c>
      <c r="AS31" s="326">
        <f t="shared" ca="1" si="59"/>
        <v>9.3403132610521883E-2</v>
      </c>
      <c r="AT31" s="326">
        <f t="shared" ca="1" si="59"/>
        <v>8.7176257103153743E-2</v>
      </c>
      <c r="AU31" s="326">
        <f t="shared" ca="1" si="59"/>
        <v>0.13333333333333333</v>
      </c>
      <c r="AV31" s="326">
        <f t="shared" ca="1" si="59"/>
        <v>0.1</v>
      </c>
      <c r="AW31" s="326">
        <f t="shared" ca="1" si="59"/>
        <v>0</v>
      </c>
      <c r="AX31" s="326">
        <f t="shared" ca="1" si="59"/>
        <v>9.3403132610521883E-2</v>
      </c>
      <c r="AY31" s="326">
        <f t="shared" ca="1" si="59"/>
        <v>0.1142857142857143</v>
      </c>
      <c r="AZ31" s="429"/>
      <c r="BA31" s="427">
        <f t="shared" ca="1" si="89"/>
        <v>9.3403132610521883E-2</v>
      </c>
      <c r="BB31" s="427">
        <f t="shared" ca="1" si="92"/>
        <v>0</v>
      </c>
      <c r="BC31" s="427">
        <f t="shared" ca="1" si="93"/>
        <v>0</v>
      </c>
      <c r="BD31" s="427">
        <f t="shared" ca="1" si="94"/>
        <v>0</v>
      </c>
      <c r="BE31" s="427">
        <f t="shared" ca="1" si="95"/>
        <v>0</v>
      </c>
      <c r="BF31" s="427">
        <f t="shared" ca="1" si="96"/>
        <v>9.3403132610521883E-2</v>
      </c>
      <c r="BG31" s="427">
        <f t="shared" ca="1" si="97"/>
        <v>0.34285714285714286</v>
      </c>
      <c r="BH31" s="434"/>
      <c r="BI31" s="427">
        <f t="shared" si="90"/>
        <v>0</v>
      </c>
      <c r="BJ31" s="427">
        <f t="shared" si="98"/>
        <v>0</v>
      </c>
      <c r="BK31" s="427">
        <f t="shared" si="99"/>
        <v>0</v>
      </c>
      <c r="BL31" s="427">
        <f t="shared" si="100"/>
        <v>0</v>
      </c>
      <c r="BM31" s="427">
        <f t="shared" si="101"/>
        <v>0</v>
      </c>
      <c r="BN31" s="427">
        <f t="shared" si="102"/>
        <v>0</v>
      </c>
      <c r="BO31" s="427">
        <f t="shared" si="103"/>
        <v>0</v>
      </c>
      <c r="BP31" s="428">
        <f t="shared" si="72"/>
        <v>67</v>
      </c>
      <c r="BQ31" s="327">
        <f t="shared" ca="1" si="91"/>
        <v>1.5567188768420313E-2</v>
      </c>
      <c r="BR31" s="327">
        <f t="shared" ca="1" si="73"/>
        <v>0</v>
      </c>
      <c r="BS31" s="327">
        <f t="shared" ca="1" si="74"/>
        <v>0</v>
      </c>
      <c r="BT31" s="327">
        <f t="shared" ca="1" si="75"/>
        <v>0</v>
      </c>
      <c r="BU31" s="327">
        <f t="shared" ca="1" si="76"/>
        <v>0</v>
      </c>
      <c r="BV31" s="327">
        <f t="shared" ca="1" si="77"/>
        <v>1.5567188768420313E-2</v>
      </c>
      <c r="BW31" s="327">
        <f t="shared" ca="1" si="78"/>
        <v>2.8571428571428571E-2</v>
      </c>
      <c r="BY31" s="323" t="str">
        <f t="shared" si="79"/>
        <v>cooling</v>
      </c>
      <c r="BZ31" s="323">
        <f t="shared" ca="1" si="33"/>
        <v>139</v>
      </c>
      <c r="CA31" s="323">
        <f t="shared" ca="1" si="34"/>
        <v>1</v>
      </c>
      <c r="CB31" s="323">
        <f t="shared" ca="1" si="35"/>
        <v>0</v>
      </c>
      <c r="CC31" s="323">
        <f t="shared" ca="1" si="36"/>
        <v>0</v>
      </c>
      <c r="CD31" s="323">
        <f t="shared" ca="1" si="37"/>
        <v>1</v>
      </c>
      <c r="CE31" s="323">
        <f t="shared" ca="1" si="38"/>
        <v>0</v>
      </c>
      <c r="CF31" s="323">
        <f t="shared" ca="1" si="39"/>
        <v>2</v>
      </c>
      <c r="CG31" s="323">
        <f t="shared" ca="1" si="40"/>
        <v>3</v>
      </c>
      <c r="CI31" s="327">
        <f t="shared" ca="1" si="80"/>
        <v>9.3403132610521883E-2</v>
      </c>
      <c r="CJ31" s="327">
        <f t="shared" ca="1" si="81"/>
        <v>0</v>
      </c>
      <c r="CK31" s="327">
        <f t="shared" ca="1" si="82"/>
        <v>0</v>
      </c>
      <c r="CL31" s="327">
        <f t="shared" ca="1" si="83"/>
        <v>0.1</v>
      </c>
      <c r="CM31" s="327">
        <f t="shared" ca="1" si="84"/>
        <v>0</v>
      </c>
      <c r="CN31" s="327">
        <f t="shared" ca="1" si="85"/>
        <v>0.18680626522104377</v>
      </c>
      <c r="CO31" s="327">
        <f t="shared" ca="1" si="86"/>
        <v>0.34285714285714286</v>
      </c>
      <c r="CP31" s="328">
        <f t="shared" si="87"/>
        <v>67</v>
      </c>
      <c r="CQ31" s="327">
        <f t="shared" ca="1" si="47"/>
        <v>1.5567188768420313E-2</v>
      </c>
      <c r="CR31" s="327">
        <f t="shared" ca="1" si="48"/>
        <v>0</v>
      </c>
      <c r="CS31" s="327">
        <f t="shared" ca="1" si="49"/>
        <v>0</v>
      </c>
      <c r="CT31" s="327">
        <f t="shared" ca="1" si="50"/>
        <v>8.3333333333333332E-3</v>
      </c>
      <c r="CU31" s="327">
        <f t="shared" ca="1" si="51"/>
        <v>0</v>
      </c>
      <c r="CV31" s="327">
        <f t="shared" ca="1" si="52"/>
        <v>3.1134377536840625E-2</v>
      </c>
      <c r="CW31" s="327">
        <f t="shared" ca="1" si="53"/>
        <v>2.8571428571428571E-2</v>
      </c>
      <c r="CY31" s="332"/>
      <c r="CZ31" s="332"/>
      <c r="DA31" s="332"/>
      <c r="DB31" s="332"/>
      <c r="DC31" s="332"/>
      <c r="DD31" s="332"/>
      <c r="DE31" s="332"/>
      <c r="DF31" s="417"/>
      <c r="DG31" s="417"/>
    </row>
    <row r="32" spans="1:111" s="329" customFormat="1" ht="58" x14ac:dyDescent="0.35">
      <c r="A32" s="302" t="s">
        <v>182</v>
      </c>
      <c r="B32" s="16" t="s">
        <v>225</v>
      </c>
      <c r="C32" s="16" t="s">
        <v>226</v>
      </c>
      <c r="D32" s="16" t="s">
        <v>227</v>
      </c>
      <c r="E32" s="411">
        <v>3</v>
      </c>
      <c r="F32" s="412">
        <v>1</v>
      </c>
      <c r="G32" s="411">
        <v>0</v>
      </c>
      <c r="H32" s="406">
        <f t="shared" si="88"/>
        <v>0</v>
      </c>
      <c r="I32" s="415" t="str">
        <f ca="1">IF(AND(O32=1,OR(E32="",E32&lt;0,E32&gt;W32,AND(H32&gt;0,OR(G32="",G32&lt;0,G32&gt;W32)),F32&gt;1,F32&lt;0)),_general!$A$83,"")</f>
        <v/>
      </c>
      <c r="J32" s="110" t="s">
        <v>1092</v>
      </c>
      <c r="K32" s="110" t="s">
        <v>1093</v>
      </c>
      <c r="L32" s="110" t="s">
        <v>228</v>
      </c>
      <c r="M32" s="110" t="s">
        <v>1094</v>
      </c>
      <c r="N32" s="110" t="s">
        <v>1095</v>
      </c>
      <c r="O32" s="48">
        <f ca="1">IF(INDIRECT(ADDRESS(VLOOKUP(INDIRECT(ADDRESS(ROW(),25)),_general!$A$85:$B$92,2,),7,,,"Building Information"))="yes",1,0)</f>
        <v>1</v>
      </c>
      <c r="P32" s="111"/>
      <c r="Q32" s="111"/>
      <c r="R32" s="142" t="s">
        <v>978</v>
      </c>
      <c r="S32" s="142">
        <f>IF(OR('Building Information'!$G$47="yes",AND('Building Information'!$G$47="no",'Building Information'!$I$47=_general!$J$3)),1,0)</f>
        <v>1</v>
      </c>
      <c r="T32" s="142">
        <f t="shared" ca="1" si="24"/>
        <v>1</v>
      </c>
      <c r="U32" s="323">
        <f t="shared" ca="1" si="25"/>
        <v>3</v>
      </c>
      <c r="V32" s="323">
        <f t="shared" ca="1" si="54"/>
        <v>0</v>
      </c>
      <c r="W32" s="323">
        <f t="shared" si="26"/>
        <v>4</v>
      </c>
      <c r="X32" s="323">
        <f t="shared" ca="1" si="55"/>
        <v>4</v>
      </c>
      <c r="Y32" s="323" t="str">
        <f>VLOOKUP($B32,overview_of_services!$B$2:$T$123,$Y$2,FALSE)</f>
        <v>ventilation</v>
      </c>
      <c r="Z32" s="323">
        <f t="shared" ca="1" si="56"/>
        <v>11</v>
      </c>
      <c r="AA32" s="323">
        <f t="shared" ca="1" si="114"/>
        <v>2</v>
      </c>
      <c r="AB32" s="323">
        <f t="shared" ca="1" si="114"/>
        <v>0</v>
      </c>
      <c r="AC32" s="323">
        <f t="shared" ca="1" si="114"/>
        <v>3</v>
      </c>
      <c r="AD32" s="323">
        <f t="shared" ca="1" si="114"/>
        <v>3</v>
      </c>
      <c r="AE32" s="323">
        <f t="shared" ca="1" si="114"/>
        <v>3</v>
      </c>
      <c r="AF32" s="323">
        <f t="shared" ca="1" si="114"/>
        <v>0</v>
      </c>
      <c r="AG32" s="323">
        <f t="shared" ca="1" si="114"/>
        <v>0</v>
      </c>
      <c r="AH32" s="323">
        <f t="shared" ca="1" si="57"/>
        <v>8</v>
      </c>
      <c r="AI32" s="323">
        <f t="shared" ca="1" si="58"/>
        <v>0</v>
      </c>
      <c r="AJ32" s="323">
        <f t="shared" ca="1" si="58"/>
        <v>0</v>
      </c>
      <c r="AK32" s="323">
        <f t="shared" ca="1" si="58"/>
        <v>0</v>
      </c>
      <c r="AL32" s="323">
        <f t="shared" ca="1" si="58"/>
        <v>0</v>
      </c>
      <c r="AM32" s="323">
        <f t="shared" ca="1" si="58"/>
        <v>0</v>
      </c>
      <c r="AN32" s="323">
        <f t="shared" ca="1" si="58"/>
        <v>0</v>
      </c>
      <c r="AO32" s="323">
        <f t="shared" ca="1" si="58"/>
        <v>0</v>
      </c>
      <c r="AP32" s="324"/>
      <c r="AQ32" s="324" t="s">
        <v>973</v>
      </c>
      <c r="AR32" s="325">
        <f>VLOOKUP(Y32,_general!$A$65:$B$73,2,FALSE)+$AR$4</f>
        <v>57</v>
      </c>
      <c r="AS32" s="326">
        <f t="shared" ca="1" si="59"/>
        <v>0.19459441427144347</v>
      </c>
      <c r="AT32" s="326">
        <f t="shared" ca="1" si="59"/>
        <v>0.18162145332001389</v>
      </c>
      <c r="AU32" s="326">
        <f t="shared" ca="1" si="59"/>
        <v>0.13333333333333333</v>
      </c>
      <c r="AV32" s="326">
        <f t="shared" ca="1" si="59"/>
        <v>0.1</v>
      </c>
      <c r="AW32" s="326">
        <f t="shared" ca="1" si="59"/>
        <v>0.4</v>
      </c>
      <c r="AX32" s="326">
        <f t="shared" ca="1" si="59"/>
        <v>0.19459441427144347</v>
      </c>
      <c r="AY32" s="326">
        <f t="shared" ca="1" si="59"/>
        <v>0.1142857142857143</v>
      </c>
      <c r="AZ32" s="429"/>
      <c r="BA32" s="427">
        <f t="shared" ca="1" si="89"/>
        <v>0.38918882854288694</v>
      </c>
      <c r="BB32" s="427">
        <f t="shared" ca="1" si="92"/>
        <v>0</v>
      </c>
      <c r="BC32" s="427">
        <f t="shared" ca="1" si="93"/>
        <v>0.4</v>
      </c>
      <c r="BD32" s="427">
        <f t="shared" ca="1" si="94"/>
        <v>0.30000000000000004</v>
      </c>
      <c r="BE32" s="427">
        <f t="shared" ca="1" si="95"/>
        <v>1.2000000000000002</v>
      </c>
      <c r="BF32" s="427">
        <f t="shared" ca="1" si="96"/>
        <v>0</v>
      </c>
      <c r="BG32" s="427">
        <f t="shared" ca="1" si="97"/>
        <v>0</v>
      </c>
      <c r="BH32" s="434"/>
      <c r="BI32" s="427">
        <f t="shared" si="90"/>
        <v>0</v>
      </c>
      <c r="BJ32" s="427">
        <f t="shared" si="98"/>
        <v>0</v>
      </c>
      <c r="BK32" s="427">
        <f t="shared" si="99"/>
        <v>0</v>
      </c>
      <c r="BL32" s="427">
        <f t="shared" si="100"/>
        <v>0</v>
      </c>
      <c r="BM32" s="427">
        <f t="shared" si="101"/>
        <v>0</v>
      </c>
      <c r="BN32" s="427">
        <f t="shared" si="102"/>
        <v>0</v>
      </c>
      <c r="BO32" s="427">
        <f t="shared" si="103"/>
        <v>0</v>
      </c>
      <c r="BP32" s="428">
        <f t="shared" si="72"/>
        <v>67</v>
      </c>
      <c r="BQ32" s="327">
        <f t="shared" ca="1" si="91"/>
        <v>6.4864804757147815E-2</v>
      </c>
      <c r="BR32" s="327">
        <f t="shared" ca="1" si="73"/>
        <v>0</v>
      </c>
      <c r="BS32" s="327">
        <f t="shared" ca="1" si="74"/>
        <v>3.3333333333333333E-2</v>
      </c>
      <c r="BT32" s="327">
        <f t="shared" ca="1" si="75"/>
        <v>2.5000000000000001E-2</v>
      </c>
      <c r="BU32" s="327">
        <f t="shared" ca="1" si="76"/>
        <v>0.1</v>
      </c>
      <c r="BV32" s="327">
        <f t="shared" ca="1" si="77"/>
        <v>0</v>
      </c>
      <c r="BW32" s="327">
        <f t="shared" ca="1" si="78"/>
        <v>0</v>
      </c>
      <c r="BY32" s="323" t="str">
        <f t="shared" si="79"/>
        <v>ventilation</v>
      </c>
      <c r="BZ32" s="323">
        <f t="shared" ca="1" si="33"/>
        <v>12</v>
      </c>
      <c r="CA32" s="323">
        <f t="shared" ca="1" si="34"/>
        <v>3</v>
      </c>
      <c r="CB32" s="323">
        <f t="shared" ca="1" si="35"/>
        <v>0</v>
      </c>
      <c r="CC32" s="323">
        <f t="shared" ca="1" si="36"/>
        <v>3</v>
      </c>
      <c r="CD32" s="323">
        <f t="shared" ca="1" si="37"/>
        <v>3</v>
      </c>
      <c r="CE32" s="323">
        <f t="shared" ca="1" si="38"/>
        <v>3</v>
      </c>
      <c r="CF32" s="323">
        <f t="shared" ca="1" si="39"/>
        <v>0</v>
      </c>
      <c r="CG32" s="323">
        <f t="shared" ca="1" si="40"/>
        <v>0</v>
      </c>
      <c r="CI32" s="327">
        <f t="shared" ca="1" si="80"/>
        <v>0.58378324281433036</v>
      </c>
      <c r="CJ32" s="327">
        <f t="shared" ca="1" si="81"/>
        <v>0</v>
      </c>
      <c r="CK32" s="327">
        <f t="shared" ca="1" si="82"/>
        <v>0.4</v>
      </c>
      <c r="CL32" s="327">
        <f t="shared" ca="1" si="83"/>
        <v>0.30000000000000004</v>
      </c>
      <c r="CM32" s="327">
        <f t="shared" ca="1" si="84"/>
        <v>1.2000000000000002</v>
      </c>
      <c r="CN32" s="327">
        <f t="shared" ca="1" si="85"/>
        <v>0</v>
      </c>
      <c r="CO32" s="327">
        <f t="shared" ca="1" si="86"/>
        <v>0</v>
      </c>
      <c r="CP32" s="328">
        <f t="shared" si="87"/>
        <v>67</v>
      </c>
      <c r="CQ32" s="327">
        <f t="shared" ca="1" si="47"/>
        <v>9.7297207135721722E-2</v>
      </c>
      <c r="CR32" s="327">
        <f t="shared" ca="1" si="48"/>
        <v>0</v>
      </c>
      <c r="CS32" s="327">
        <f t="shared" ca="1" si="49"/>
        <v>3.3333333333333333E-2</v>
      </c>
      <c r="CT32" s="327">
        <f t="shared" ca="1" si="50"/>
        <v>2.5000000000000001E-2</v>
      </c>
      <c r="CU32" s="327">
        <f t="shared" ca="1" si="51"/>
        <v>0.1</v>
      </c>
      <c r="CV32" s="327">
        <f t="shared" ca="1" si="52"/>
        <v>0</v>
      </c>
      <c r="CW32" s="327">
        <f t="shared" ca="1" si="53"/>
        <v>0</v>
      </c>
      <c r="CY32" s="332"/>
      <c r="CZ32" s="332"/>
      <c r="DA32" s="332"/>
      <c r="DB32" s="332"/>
      <c r="DC32" s="332"/>
      <c r="DD32" s="332"/>
      <c r="DE32" s="332"/>
      <c r="DF32" s="417"/>
      <c r="DG32" s="417"/>
    </row>
    <row r="33" spans="1:111" s="329" customFormat="1" ht="29" x14ac:dyDescent="0.35">
      <c r="A33" s="302" t="s">
        <v>182</v>
      </c>
      <c r="B33" s="16" t="s">
        <v>231</v>
      </c>
      <c r="C33" s="16" t="s">
        <v>226</v>
      </c>
      <c r="D33" s="16" t="s">
        <v>232</v>
      </c>
      <c r="E33" s="411">
        <v>3</v>
      </c>
      <c r="F33" s="412">
        <v>1</v>
      </c>
      <c r="G33" s="411">
        <v>0</v>
      </c>
      <c r="H33" s="406">
        <f t="shared" si="88"/>
        <v>0</v>
      </c>
      <c r="I33" s="415" t="str">
        <f ca="1">IF(AND(O33=1,OR(E33="",E33&lt;0,E33&gt;W33,AND(H33&gt;0,OR(G33="",G33&lt;0,G33&gt;W33)),F33&gt;1,F33&lt;0)),_general!$A$83,"")</f>
        <v/>
      </c>
      <c r="J33" s="110" t="s">
        <v>233</v>
      </c>
      <c r="K33" s="110" t="s">
        <v>234</v>
      </c>
      <c r="L33" s="110" t="s">
        <v>235</v>
      </c>
      <c r="M33" s="110" t="s">
        <v>236</v>
      </c>
      <c r="N33" s="110"/>
      <c r="O33" s="48">
        <f ca="1">IF(INDIRECT(ADDRESS(VLOOKUP(INDIRECT(ADDRESS(ROW(),25)),_general!$A$85:$B$92,2,),7,,,"Building Information"))="yes",1,0)</f>
        <v>1</v>
      </c>
      <c r="P33" s="111"/>
      <c r="Q33" s="111"/>
      <c r="R33" s="142" t="s">
        <v>978</v>
      </c>
      <c r="S33" s="142">
        <f>IF(OR('Building Information'!$G$47="yes",AND('Building Information'!$G$47="no",'Building Information'!$I$47=_general!$J$3)),1,0)</f>
        <v>1</v>
      </c>
      <c r="T33" s="142">
        <f t="shared" ca="1" si="24"/>
        <v>1</v>
      </c>
      <c r="U33" s="323">
        <f t="shared" ca="1" si="25"/>
        <v>3</v>
      </c>
      <c r="V33" s="323">
        <f t="shared" ca="1" si="54"/>
        <v>0</v>
      </c>
      <c r="W33" s="323">
        <f t="shared" si="26"/>
        <v>3</v>
      </c>
      <c r="X33" s="323">
        <f t="shared" ca="1" si="55"/>
        <v>3</v>
      </c>
      <c r="Y33" s="323" t="str">
        <f>VLOOKUP($B33,overview_of_services!$B$2:$T$123,$Y$2,FALSE)</f>
        <v>ventilation</v>
      </c>
      <c r="Z33" s="323">
        <f t="shared" ca="1" si="56"/>
        <v>25</v>
      </c>
      <c r="AA33" s="323">
        <f t="shared" ca="1" si="114"/>
        <v>2</v>
      </c>
      <c r="AB33" s="323">
        <f t="shared" ca="1" si="114"/>
        <v>0</v>
      </c>
      <c r="AC33" s="323">
        <f t="shared" ca="1" si="114"/>
        <v>2</v>
      </c>
      <c r="AD33" s="323">
        <f t="shared" ca="1" si="114"/>
        <v>2</v>
      </c>
      <c r="AE33" s="323">
        <f t="shared" ca="1" si="114"/>
        <v>2</v>
      </c>
      <c r="AF33" s="323">
        <f t="shared" ca="1" si="114"/>
        <v>0</v>
      </c>
      <c r="AG33" s="323">
        <f t="shared" ca="1" si="114"/>
        <v>0</v>
      </c>
      <c r="AH33" s="323">
        <f t="shared" ca="1" si="57"/>
        <v>22</v>
      </c>
      <c r="AI33" s="323">
        <f t="shared" ca="1" si="58"/>
        <v>0</v>
      </c>
      <c r="AJ33" s="323">
        <f t="shared" ca="1" si="58"/>
        <v>0</v>
      </c>
      <c r="AK33" s="323">
        <f t="shared" ca="1" si="58"/>
        <v>0</v>
      </c>
      <c r="AL33" s="323">
        <f t="shared" ca="1" si="58"/>
        <v>0</v>
      </c>
      <c r="AM33" s="323">
        <f t="shared" ca="1" si="58"/>
        <v>0</v>
      </c>
      <c r="AN33" s="323">
        <f t="shared" ca="1" si="58"/>
        <v>0</v>
      </c>
      <c r="AO33" s="323">
        <f t="shared" ca="1" si="58"/>
        <v>0</v>
      </c>
      <c r="AP33" s="324"/>
      <c r="AQ33" s="324" t="s">
        <v>973</v>
      </c>
      <c r="AR33" s="325">
        <f>VLOOKUP(Y33,_general!$A$65:$B$73,2,FALSE)+$AR$4</f>
        <v>57</v>
      </c>
      <c r="AS33" s="326">
        <f t="shared" ca="1" si="59"/>
        <v>0.19459441427144347</v>
      </c>
      <c r="AT33" s="326">
        <f t="shared" ca="1" si="59"/>
        <v>0.18162145332001389</v>
      </c>
      <c r="AU33" s="326">
        <f t="shared" ca="1" si="59"/>
        <v>0.13333333333333333</v>
      </c>
      <c r="AV33" s="326">
        <f t="shared" ca="1" si="59"/>
        <v>0.1</v>
      </c>
      <c r="AW33" s="326">
        <f t="shared" ca="1" si="59"/>
        <v>0.4</v>
      </c>
      <c r="AX33" s="326">
        <f t="shared" ca="1" si="59"/>
        <v>0.19459441427144347</v>
      </c>
      <c r="AY33" s="326">
        <f t="shared" ca="1" si="59"/>
        <v>0.1142857142857143</v>
      </c>
      <c r="AZ33" s="429"/>
      <c r="BA33" s="427">
        <f t="shared" ca="1" si="89"/>
        <v>0.38918882854288694</v>
      </c>
      <c r="BB33" s="427">
        <f t="shared" ca="1" si="92"/>
        <v>0</v>
      </c>
      <c r="BC33" s="427">
        <f t="shared" ca="1" si="93"/>
        <v>0.26666666666666666</v>
      </c>
      <c r="BD33" s="427">
        <f t="shared" ca="1" si="94"/>
        <v>0.2</v>
      </c>
      <c r="BE33" s="427">
        <f t="shared" ca="1" si="95"/>
        <v>0.8</v>
      </c>
      <c r="BF33" s="427">
        <f t="shared" ca="1" si="96"/>
        <v>0</v>
      </c>
      <c r="BG33" s="427">
        <f t="shared" ca="1" si="97"/>
        <v>0</v>
      </c>
      <c r="BH33" s="434"/>
      <c r="BI33" s="427">
        <f t="shared" si="90"/>
        <v>0</v>
      </c>
      <c r="BJ33" s="427">
        <f t="shared" si="98"/>
        <v>0</v>
      </c>
      <c r="BK33" s="427">
        <f t="shared" si="99"/>
        <v>0</v>
      </c>
      <c r="BL33" s="427">
        <f t="shared" si="100"/>
        <v>0</v>
      </c>
      <c r="BM33" s="427">
        <f t="shared" si="101"/>
        <v>0</v>
      </c>
      <c r="BN33" s="427">
        <f t="shared" si="102"/>
        <v>0</v>
      </c>
      <c r="BO33" s="427">
        <f t="shared" si="103"/>
        <v>0</v>
      </c>
      <c r="BP33" s="428">
        <f t="shared" si="72"/>
        <v>67</v>
      </c>
      <c r="BQ33" s="327">
        <f t="shared" ca="1" si="91"/>
        <v>6.4864804757147815E-2</v>
      </c>
      <c r="BR33" s="327">
        <f t="shared" ca="1" si="73"/>
        <v>0</v>
      </c>
      <c r="BS33" s="327">
        <f t="shared" ca="1" si="74"/>
        <v>2.222222222222222E-2</v>
      </c>
      <c r="BT33" s="327">
        <f t="shared" ca="1" si="75"/>
        <v>1.6666666666666666E-2</v>
      </c>
      <c r="BU33" s="327">
        <f t="shared" ca="1" si="76"/>
        <v>6.6666666666666666E-2</v>
      </c>
      <c r="BV33" s="327">
        <f t="shared" ca="1" si="77"/>
        <v>0</v>
      </c>
      <c r="BW33" s="327">
        <f t="shared" ca="1" si="78"/>
        <v>0</v>
      </c>
      <c r="BY33" s="323" t="str">
        <f t="shared" si="79"/>
        <v>ventilation</v>
      </c>
      <c r="BZ33" s="323">
        <f t="shared" ca="1" si="33"/>
        <v>25</v>
      </c>
      <c r="CA33" s="323">
        <f t="shared" ca="1" si="34"/>
        <v>2</v>
      </c>
      <c r="CB33" s="323">
        <f t="shared" ca="1" si="35"/>
        <v>0</v>
      </c>
      <c r="CC33" s="323">
        <f t="shared" ca="1" si="36"/>
        <v>2</v>
      </c>
      <c r="CD33" s="323">
        <f t="shared" ca="1" si="37"/>
        <v>2</v>
      </c>
      <c r="CE33" s="323">
        <f t="shared" ca="1" si="38"/>
        <v>2</v>
      </c>
      <c r="CF33" s="323">
        <f t="shared" ca="1" si="39"/>
        <v>0</v>
      </c>
      <c r="CG33" s="323">
        <f t="shared" ca="1" si="40"/>
        <v>0</v>
      </c>
      <c r="CI33" s="327">
        <f t="shared" ca="1" si="80"/>
        <v>0.38918882854288694</v>
      </c>
      <c r="CJ33" s="327">
        <f t="shared" ca="1" si="81"/>
        <v>0</v>
      </c>
      <c r="CK33" s="327">
        <f t="shared" ca="1" si="82"/>
        <v>0.26666666666666666</v>
      </c>
      <c r="CL33" s="327">
        <f t="shared" ca="1" si="83"/>
        <v>0.2</v>
      </c>
      <c r="CM33" s="327">
        <f t="shared" ca="1" si="84"/>
        <v>0.8</v>
      </c>
      <c r="CN33" s="327">
        <f t="shared" ca="1" si="85"/>
        <v>0</v>
      </c>
      <c r="CO33" s="327">
        <f t="shared" ca="1" si="86"/>
        <v>0</v>
      </c>
      <c r="CP33" s="328">
        <f t="shared" si="87"/>
        <v>67</v>
      </c>
      <c r="CQ33" s="327">
        <f t="shared" ca="1" si="47"/>
        <v>6.4864804757147815E-2</v>
      </c>
      <c r="CR33" s="327">
        <f t="shared" ca="1" si="48"/>
        <v>0</v>
      </c>
      <c r="CS33" s="327">
        <f t="shared" ca="1" si="49"/>
        <v>2.222222222222222E-2</v>
      </c>
      <c r="CT33" s="327">
        <f t="shared" ca="1" si="50"/>
        <v>1.6666666666666666E-2</v>
      </c>
      <c r="CU33" s="327">
        <f t="shared" ca="1" si="51"/>
        <v>6.6666666666666666E-2</v>
      </c>
      <c r="CV33" s="327">
        <f t="shared" ca="1" si="52"/>
        <v>0</v>
      </c>
      <c r="CW33" s="327">
        <f t="shared" ca="1" si="53"/>
        <v>0</v>
      </c>
      <c r="CY33" s="332"/>
      <c r="CZ33" s="332"/>
      <c r="DA33" s="332"/>
      <c r="DB33" s="332"/>
      <c r="DC33" s="332"/>
      <c r="DD33" s="332"/>
      <c r="DE33" s="332"/>
      <c r="DF33" s="417"/>
      <c r="DG33" s="417"/>
    </row>
    <row r="34" spans="1:111" s="329" customFormat="1" ht="29" x14ac:dyDescent="0.35">
      <c r="A34" s="302"/>
      <c r="B34" s="16" t="s">
        <v>239</v>
      </c>
      <c r="C34" s="16" t="s">
        <v>226</v>
      </c>
      <c r="D34" s="16" t="s">
        <v>240</v>
      </c>
      <c r="E34" s="411">
        <v>3</v>
      </c>
      <c r="F34" s="412">
        <v>1</v>
      </c>
      <c r="G34" s="411">
        <v>0</v>
      </c>
      <c r="H34" s="406">
        <f t="shared" si="88"/>
        <v>0</v>
      </c>
      <c r="I34" s="415" t="str">
        <f ca="1">IF(AND(O34=1,OR(E34="",E34&lt;0,E34&gt;W34,AND(H34&gt;0,OR(G34="",G34&lt;0,G34&gt;W34)),F34&gt;1,F34&lt;0)),_general!$A$83,"")</f>
        <v/>
      </c>
      <c r="J34" s="110" t="s">
        <v>25</v>
      </c>
      <c r="K34" s="110" t="s">
        <v>241</v>
      </c>
      <c r="L34" s="110" t="s">
        <v>242</v>
      </c>
      <c r="M34" s="110" t="s">
        <v>243</v>
      </c>
      <c r="N34" s="110" t="s">
        <v>244</v>
      </c>
      <c r="O34" s="48">
        <f ca="1">IF(AND(INDIRECT(ADDRESS(VLOOKUP(INDIRECT(ADDRESS(ROW(),25)),_general!$A$85:$B$92,2,),7,,,"Building Information"))="yes",'Building Information'!G83=_general!I45),1,0)</f>
        <v>1</v>
      </c>
      <c r="P34" s="111"/>
      <c r="Q34" s="111"/>
      <c r="R34" s="142" t="s">
        <v>863</v>
      </c>
      <c r="S34" s="142">
        <f>IF(OR('Building Information'!$G$47="yes",AND('Building Information'!$G$47="no",'Building Information'!$I$47=_general!$J$3)),1,0)</f>
        <v>1</v>
      </c>
      <c r="T34" s="142">
        <f t="shared" ca="1" si="24"/>
        <v>1</v>
      </c>
      <c r="U34" s="323">
        <f t="shared" ca="1" si="25"/>
        <v>3</v>
      </c>
      <c r="V34" s="323">
        <f t="shared" ca="1" si="54"/>
        <v>0</v>
      </c>
      <c r="W34" s="323">
        <f t="shared" si="26"/>
        <v>4</v>
      </c>
      <c r="X34" s="323">
        <f t="shared" ca="1" si="55"/>
        <v>4</v>
      </c>
      <c r="Y34" s="323" t="str">
        <f>VLOOKUP($B34,overview_of_services!$B$2:$T$123,$Y$2,FALSE)</f>
        <v>ventilation</v>
      </c>
      <c r="Z34" s="323">
        <f t="shared" ca="1" si="56"/>
        <v>39</v>
      </c>
      <c r="AA34" s="323">
        <f t="shared" ref="AA34:AG44" ca="1" si="115">IF($O34=1,INDIRECT(ADDRESS($Z34,AA$2,1,,$Y34)),0)</f>
        <v>3</v>
      </c>
      <c r="AB34" s="323">
        <f t="shared" ca="1" si="115"/>
        <v>0</v>
      </c>
      <c r="AC34" s="323">
        <f t="shared" ca="1" si="115"/>
        <v>0</v>
      </c>
      <c r="AD34" s="323">
        <f t="shared" ca="1" si="115"/>
        <v>0</v>
      </c>
      <c r="AE34" s="323">
        <f t="shared" ca="1" si="115"/>
        <v>0</v>
      </c>
      <c r="AF34" s="323">
        <f t="shared" ca="1" si="115"/>
        <v>0</v>
      </c>
      <c r="AG34" s="323">
        <f t="shared" ca="1" si="115"/>
        <v>0</v>
      </c>
      <c r="AH34" s="323">
        <f t="shared" ca="1" si="57"/>
        <v>36</v>
      </c>
      <c r="AI34" s="323">
        <f t="shared" ca="1" si="58"/>
        <v>0</v>
      </c>
      <c r="AJ34" s="323">
        <f t="shared" ca="1" si="58"/>
        <v>0</v>
      </c>
      <c r="AK34" s="323">
        <f t="shared" ca="1" si="58"/>
        <v>0</v>
      </c>
      <c r="AL34" s="323">
        <f t="shared" ca="1" si="58"/>
        <v>0</v>
      </c>
      <c r="AM34" s="323">
        <f t="shared" ca="1" si="58"/>
        <v>0</v>
      </c>
      <c r="AN34" s="323">
        <f t="shared" ca="1" si="58"/>
        <v>0</v>
      </c>
      <c r="AO34" s="323">
        <f t="shared" ca="1" si="58"/>
        <v>0</v>
      </c>
      <c r="AP34" s="324"/>
      <c r="AQ34" s="324" t="s">
        <v>973</v>
      </c>
      <c r="AR34" s="325">
        <f>VLOOKUP(Y34,_general!$A$65:$B$73,2,FALSE)+$AR$4</f>
        <v>57</v>
      </c>
      <c r="AS34" s="326">
        <f t="shared" ca="1" si="59"/>
        <v>0.19459441427144347</v>
      </c>
      <c r="AT34" s="326">
        <f t="shared" ca="1" si="59"/>
        <v>0.18162145332001389</v>
      </c>
      <c r="AU34" s="326">
        <f t="shared" ca="1" si="59"/>
        <v>0.13333333333333333</v>
      </c>
      <c r="AV34" s="326">
        <f t="shared" ca="1" si="59"/>
        <v>0.1</v>
      </c>
      <c r="AW34" s="326">
        <f t="shared" ca="1" si="59"/>
        <v>0.4</v>
      </c>
      <c r="AX34" s="326">
        <f t="shared" ca="1" si="59"/>
        <v>0.19459441427144347</v>
      </c>
      <c r="AY34" s="326">
        <f t="shared" ca="1" si="59"/>
        <v>0.1142857142857143</v>
      </c>
      <c r="AZ34" s="429"/>
      <c r="BA34" s="427">
        <f t="shared" ca="1" si="89"/>
        <v>0.58378324281433036</v>
      </c>
      <c r="BB34" s="427">
        <f t="shared" ca="1" si="92"/>
        <v>0</v>
      </c>
      <c r="BC34" s="427">
        <f t="shared" ca="1" si="93"/>
        <v>0</v>
      </c>
      <c r="BD34" s="427">
        <f t="shared" ca="1" si="94"/>
        <v>0</v>
      </c>
      <c r="BE34" s="427">
        <f t="shared" ca="1" si="95"/>
        <v>0</v>
      </c>
      <c r="BF34" s="427">
        <f t="shared" ca="1" si="96"/>
        <v>0</v>
      </c>
      <c r="BG34" s="427">
        <f t="shared" ca="1" si="97"/>
        <v>0</v>
      </c>
      <c r="BH34" s="434"/>
      <c r="BI34" s="427">
        <f t="shared" si="90"/>
        <v>0</v>
      </c>
      <c r="BJ34" s="427">
        <f t="shared" si="98"/>
        <v>0</v>
      </c>
      <c r="BK34" s="427">
        <f t="shared" si="99"/>
        <v>0</v>
      </c>
      <c r="BL34" s="427">
        <f t="shared" si="100"/>
        <v>0</v>
      </c>
      <c r="BM34" s="427">
        <f t="shared" si="101"/>
        <v>0</v>
      </c>
      <c r="BN34" s="427">
        <f t="shared" si="102"/>
        <v>0</v>
      </c>
      <c r="BO34" s="427">
        <f t="shared" si="103"/>
        <v>0</v>
      </c>
      <c r="BP34" s="428">
        <f t="shared" si="72"/>
        <v>67</v>
      </c>
      <c r="BQ34" s="327">
        <f t="shared" ca="1" si="91"/>
        <v>9.7297207135721722E-2</v>
      </c>
      <c r="BR34" s="327">
        <f t="shared" ca="1" si="73"/>
        <v>0</v>
      </c>
      <c r="BS34" s="327">
        <f t="shared" ca="1" si="74"/>
        <v>0</v>
      </c>
      <c r="BT34" s="327">
        <f t="shared" ca="1" si="75"/>
        <v>0</v>
      </c>
      <c r="BU34" s="327">
        <f t="shared" ca="1" si="76"/>
        <v>0</v>
      </c>
      <c r="BV34" s="327">
        <f t="shared" ca="1" si="77"/>
        <v>0</v>
      </c>
      <c r="BW34" s="327">
        <f t="shared" ca="1" si="78"/>
        <v>0</v>
      </c>
      <c r="BY34" s="323" t="str">
        <f t="shared" si="79"/>
        <v>ventilation</v>
      </c>
      <c r="BZ34" s="323">
        <f t="shared" ca="1" si="33"/>
        <v>40</v>
      </c>
      <c r="CA34" s="323">
        <f t="shared" ca="1" si="34"/>
        <v>3</v>
      </c>
      <c r="CB34" s="323">
        <f t="shared" ca="1" si="35"/>
        <v>0</v>
      </c>
      <c r="CC34" s="323">
        <f t="shared" ca="1" si="36"/>
        <v>0</v>
      </c>
      <c r="CD34" s="323">
        <f t="shared" ca="1" si="37"/>
        <v>0</v>
      </c>
      <c r="CE34" s="323">
        <f t="shared" ca="1" si="38"/>
        <v>0</v>
      </c>
      <c r="CF34" s="323">
        <f t="shared" ca="1" si="39"/>
        <v>0</v>
      </c>
      <c r="CG34" s="323">
        <f t="shared" ca="1" si="40"/>
        <v>0</v>
      </c>
      <c r="CI34" s="327">
        <f t="shared" ca="1" si="80"/>
        <v>0.58378324281433036</v>
      </c>
      <c r="CJ34" s="327">
        <f t="shared" ca="1" si="81"/>
        <v>0</v>
      </c>
      <c r="CK34" s="327">
        <f t="shared" ca="1" si="82"/>
        <v>0</v>
      </c>
      <c r="CL34" s="327">
        <f t="shared" ca="1" si="83"/>
        <v>0</v>
      </c>
      <c r="CM34" s="327">
        <f t="shared" ca="1" si="84"/>
        <v>0</v>
      </c>
      <c r="CN34" s="327">
        <f t="shared" ca="1" si="85"/>
        <v>0</v>
      </c>
      <c r="CO34" s="327">
        <f t="shared" ca="1" si="86"/>
        <v>0</v>
      </c>
      <c r="CP34" s="328">
        <f t="shared" si="87"/>
        <v>67</v>
      </c>
      <c r="CQ34" s="327">
        <f t="shared" ca="1" si="47"/>
        <v>9.7297207135721722E-2</v>
      </c>
      <c r="CR34" s="327">
        <f t="shared" ca="1" si="48"/>
        <v>0</v>
      </c>
      <c r="CS34" s="327">
        <f t="shared" ca="1" si="49"/>
        <v>0</v>
      </c>
      <c r="CT34" s="327">
        <f t="shared" ca="1" si="50"/>
        <v>0</v>
      </c>
      <c r="CU34" s="327">
        <f t="shared" ca="1" si="51"/>
        <v>0</v>
      </c>
      <c r="CV34" s="327">
        <f t="shared" ca="1" si="52"/>
        <v>0</v>
      </c>
      <c r="CW34" s="327">
        <f t="shared" ca="1" si="53"/>
        <v>0</v>
      </c>
      <c r="CY34" s="332"/>
      <c r="CZ34" s="332"/>
      <c r="DA34" s="332"/>
      <c r="DB34" s="332"/>
      <c r="DC34" s="332"/>
      <c r="DD34" s="332"/>
      <c r="DE34" s="332"/>
      <c r="DF34" s="417"/>
      <c r="DG34" s="417"/>
    </row>
    <row r="35" spans="1:111" s="329" customFormat="1" ht="29" x14ac:dyDescent="0.35">
      <c r="A35" s="299"/>
      <c r="B35" s="16" t="s">
        <v>246</v>
      </c>
      <c r="C35" s="16" t="s">
        <v>247</v>
      </c>
      <c r="D35" s="16" t="s">
        <v>248</v>
      </c>
      <c r="E35" s="411"/>
      <c r="F35" s="412">
        <v>1</v>
      </c>
      <c r="G35" s="411">
        <v>0</v>
      </c>
      <c r="H35" s="406">
        <f t="shared" si="88"/>
        <v>0</v>
      </c>
      <c r="I35" s="415" t="str">
        <f ca="1">IF(AND(O35=1,OR(E35="",E35&lt;0,E35&gt;W35,AND(H35&gt;0,OR(G35="",G35&lt;0,G35&gt;W35)),F35&gt;1,F35&lt;0)),_general!$A$83,"")</f>
        <v/>
      </c>
      <c r="J35" s="110" t="s">
        <v>249</v>
      </c>
      <c r="K35" s="110" t="s">
        <v>250</v>
      </c>
      <c r="L35" s="110" t="s">
        <v>251</v>
      </c>
      <c r="M35" s="110"/>
      <c r="N35" s="110"/>
      <c r="O35" s="48">
        <f ca="1">IF(AND(INDIRECT(ADDRESS(VLOOKUP(INDIRECT(ADDRESS(ROW(),25)),_general!$A$85:$B$92,2,),7,,,"Building Information"))="yes",'Building Information'!G85=_general!I59,'Building Information'!G86=_general!I49),1,0)</f>
        <v>0</v>
      </c>
      <c r="P35" s="111"/>
      <c r="Q35" s="111"/>
      <c r="R35" s="142" t="s">
        <v>863</v>
      </c>
      <c r="S35" s="142">
        <f>IF(OR('Building Information'!$G$47="yes",AND('Building Information'!$G$47="no",'Building Information'!$I$47=_general!$J$3)),1,0)</f>
        <v>1</v>
      </c>
      <c r="T35" s="142">
        <f t="shared" ca="1" si="24"/>
        <v>0</v>
      </c>
      <c r="U35" s="323">
        <f t="shared" ca="1" si="25"/>
        <v>0</v>
      </c>
      <c r="V35" s="323">
        <f t="shared" ca="1" si="54"/>
        <v>0</v>
      </c>
      <c r="W35" s="323">
        <f t="shared" si="26"/>
        <v>2</v>
      </c>
      <c r="X35" s="323">
        <f t="shared" ca="1" si="55"/>
        <v>0</v>
      </c>
      <c r="Y35" s="323" t="str">
        <f>VLOOKUP($B35,overview_of_services!$B$2:$T$123,$Y$2,FALSE)</f>
        <v>ventilation</v>
      </c>
      <c r="Z35" s="323">
        <f t="shared" ca="1" si="56"/>
        <v>51</v>
      </c>
      <c r="AA35" s="323">
        <f t="shared" ca="1" si="115"/>
        <v>0</v>
      </c>
      <c r="AB35" s="323">
        <f t="shared" ca="1" si="115"/>
        <v>0</v>
      </c>
      <c r="AC35" s="323">
        <f t="shared" ca="1" si="115"/>
        <v>0</v>
      </c>
      <c r="AD35" s="323">
        <f t="shared" ca="1" si="115"/>
        <v>0</v>
      </c>
      <c r="AE35" s="323">
        <f t="shared" ca="1" si="115"/>
        <v>0</v>
      </c>
      <c r="AF35" s="323">
        <f t="shared" ca="1" si="115"/>
        <v>0</v>
      </c>
      <c r="AG35" s="323">
        <f t="shared" ca="1" si="115"/>
        <v>0</v>
      </c>
      <c r="AH35" s="323">
        <f t="shared" ca="1" si="57"/>
        <v>51</v>
      </c>
      <c r="AI35" s="323">
        <f t="shared" ca="1" si="58"/>
        <v>0</v>
      </c>
      <c r="AJ35" s="323">
        <f t="shared" ca="1" si="58"/>
        <v>0</v>
      </c>
      <c r="AK35" s="323">
        <f t="shared" ca="1" si="58"/>
        <v>0</v>
      </c>
      <c r="AL35" s="323">
        <f t="shared" ca="1" si="58"/>
        <v>0</v>
      </c>
      <c r="AM35" s="323">
        <f t="shared" ca="1" si="58"/>
        <v>0</v>
      </c>
      <c r="AN35" s="323">
        <f t="shared" ca="1" si="58"/>
        <v>0</v>
      </c>
      <c r="AO35" s="323">
        <f t="shared" ca="1" si="58"/>
        <v>0</v>
      </c>
      <c r="AP35" s="324"/>
      <c r="AQ35" s="324" t="s">
        <v>973</v>
      </c>
      <c r="AR35" s="325">
        <f>VLOOKUP(Y35,_general!$A$65:$B$73,2,FALSE)+$AR$4</f>
        <v>57</v>
      </c>
      <c r="AS35" s="326">
        <f t="shared" ca="1" si="59"/>
        <v>0.19459441427144347</v>
      </c>
      <c r="AT35" s="326">
        <f t="shared" ca="1" si="59"/>
        <v>0.18162145332001389</v>
      </c>
      <c r="AU35" s="326">
        <f t="shared" ca="1" si="59"/>
        <v>0.13333333333333333</v>
      </c>
      <c r="AV35" s="326">
        <f t="shared" ca="1" si="59"/>
        <v>0.1</v>
      </c>
      <c r="AW35" s="326">
        <f t="shared" ca="1" si="59"/>
        <v>0.4</v>
      </c>
      <c r="AX35" s="326">
        <f t="shared" ca="1" si="59"/>
        <v>0.19459441427144347</v>
      </c>
      <c r="AY35" s="326">
        <f t="shared" ca="1" si="59"/>
        <v>0.1142857142857143</v>
      </c>
      <c r="AZ35" s="429"/>
      <c r="BA35" s="427">
        <f t="shared" ca="1" si="89"/>
        <v>0</v>
      </c>
      <c r="BB35" s="427">
        <f t="shared" ca="1" si="92"/>
        <v>0</v>
      </c>
      <c r="BC35" s="427">
        <f t="shared" ca="1" si="93"/>
        <v>0</v>
      </c>
      <c r="BD35" s="427">
        <f t="shared" ca="1" si="94"/>
        <v>0</v>
      </c>
      <c r="BE35" s="427">
        <f t="shared" ca="1" si="95"/>
        <v>0</v>
      </c>
      <c r="BF35" s="427">
        <f t="shared" ca="1" si="96"/>
        <v>0</v>
      </c>
      <c r="BG35" s="427">
        <f t="shared" ca="1" si="97"/>
        <v>0</v>
      </c>
      <c r="BH35" s="434"/>
      <c r="BI35" s="427">
        <f t="shared" si="90"/>
        <v>0</v>
      </c>
      <c r="BJ35" s="427">
        <f t="shared" si="98"/>
        <v>0</v>
      </c>
      <c r="BK35" s="427">
        <f t="shared" si="99"/>
        <v>0</v>
      </c>
      <c r="BL35" s="427">
        <f t="shared" si="100"/>
        <v>0</v>
      </c>
      <c r="BM35" s="427">
        <f t="shared" si="101"/>
        <v>0</v>
      </c>
      <c r="BN35" s="427">
        <f t="shared" si="102"/>
        <v>0</v>
      </c>
      <c r="BO35" s="427">
        <f t="shared" si="103"/>
        <v>0</v>
      </c>
      <c r="BP35" s="428">
        <f t="shared" si="72"/>
        <v>67</v>
      </c>
      <c r="BQ35" s="327">
        <f t="shared" ca="1" si="91"/>
        <v>0</v>
      </c>
      <c r="BR35" s="327">
        <f t="shared" ca="1" si="73"/>
        <v>0</v>
      </c>
      <c r="BS35" s="327">
        <f t="shared" ca="1" si="74"/>
        <v>0</v>
      </c>
      <c r="BT35" s="327">
        <f t="shared" ca="1" si="75"/>
        <v>0</v>
      </c>
      <c r="BU35" s="327">
        <f t="shared" ca="1" si="76"/>
        <v>0</v>
      </c>
      <c r="BV35" s="327">
        <f t="shared" ca="1" si="77"/>
        <v>0</v>
      </c>
      <c r="BW35" s="327">
        <f t="shared" ca="1" si="78"/>
        <v>0</v>
      </c>
      <c r="BY35" s="323" t="str">
        <f t="shared" si="79"/>
        <v>ventilation</v>
      </c>
      <c r="BZ35" s="323">
        <f t="shared" ca="1" si="33"/>
        <v>51</v>
      </c>
      <c r="CA35" s="323">
        <f t="shared" ca="1" si="34"/>
        <v>0</v>
      </c>
      <c r="CB35" s="323">
        <f t="shared" ca="1" si="35"/>
        <v>0</v>
      </c>
      <c r="CC35" s="323">
        <f t="shared" ca="1" si="36"/>
        <v>0</v>
      </c>
      <c r="CD35" s="323">
        <f t="shared" ca="1" si="37"/>
        <v>0</v>
      </c>
      <c r="CE35" s="323">
        <f t="shared" ca="1" si="38"/>
        <v>0</v>
      </c>
      <c r="CF35" s="323">
        <f t="shared" ca="1" si="39"/>
        <v>0</v>
      </c>
      <c r="CG35" s="323">
        <f t="shared" ca="1" si="40"/>
        <v>0</v>
      </c>
      <c r="CI35" s="327">
        <f t="shared" ca="1" si="80"/>
        <v>0</v>
      </c>
      <c r="CJ35" s="327">
        <f t="shared" ca="1" si="81"/>
        <v>0</v>
      </c>
      <c r="CK35" s="327">
        <f t="shared" ca="1" si="82"/>
        <v>0</v>
      </c>
      <c r="CL35" s="327">
        <f t="shared" ca="1" si="83"/>
        <v>0</v>
      </c>
      <c r="CM35" s="327">
        <f t="shared" ca="1" si="84"/>
        <v>0</v>
      </c>
      <c r="CN35" s="327">
        <f t="shared" ca="1" si="85"/>
        <v>0</v>
      </c>
      <c r="CO35" s="327">
        <f t="shared" ca="1" si="86"/>
        <v>0</v>
      </c>
      <c r="CP35" s="328">
        <f t="shared" si="87"/>
        <v>67</v>
      </c>
      <c r="CQ35" s="327">
        <f t="shared" ca="1" si="47"/>
        <v>0</v>
      </c>
      <c r="CR35" s="327">
        <f t="shared" ca="1" si="48"/>
        <v>0</v>
      </c>
      <c r="CS35" s="327">
        <f t="shared" ca="1" si="49"/>
        <v>0</v>
      </c>
      <c r="CT35" s="327">
        <f t="shared" ca="1" si="50"/>
        <v>0</v>
      </c>
      <c r="CU35" s="327">
        <f t="shared" ca="1" si="51"/>
        <v>0</v>
      </c>
      <c r="CV35" s="327">
        <f t="shared" ca="1" si="52"/>
        <v>0</v>
      </c>
      <c r="CW35" s="327">
        <f t="shared" ca="1" si="53"/>
        <v>0</v>
      </c>
      <c r="DF35" s="417"/>
      <c r="DG35" s="417"/>
    </row>
    <row r="36" spans="1:111" s="329" customFormat="1" ht="43.5" x14ac:dyDescent="0.35">
      <c r="A36" s="303" t="s">
        <v>917</v>
      </c>
      <c r="B36" s="16" t="s">
        <v>258</v>
      </c>
      <c r="C36" s="16" t="s">
        <v>247</v>
      </c>
      <c r="D36" s="16" t="s">
        <v>259</v>
      </c>
      <c r="E36" s="411">
        <v>2</v>
      </c>
      <c r="F36" s="412">
        <v>1</v>
      </c>
      <c r="G36" s="411">
        <v>0</v>
      </c>
      <c r="H36" s="406">
        <f t="shared" si="88"/>
        <v>0</v>
      </c>
      <c r="I36" s="415" t="str">
        <f ca="1">IF(AND(O36=1,OR(E36="",E36&lt;0,E36&gt;W36,AND(H36&gt;0,OR(G36="",G36&lt;0,G36&gt;W36)),F36&gt;1,F36&lt;0)),_general!$A$83,"")</f>
        <v/>
      </c>
      <c r="J36" s="110" t="s">
        <v>260</v>
      </c>
      <c r="K36" s="110" t="s">
        <v>261</v>
      </c>
      <c r="L36" s="110" t="s">
        <v>262</v>
      </c>
      <c r="M36" s="110"/>
      <c r="N36" s="110"/>
      <c r="O36" s="48">
        <f ca="1">IF(AND(INDIRECT(ADDRESS(VLOOKUP(INDIRECT(ADDRESS(ROW(),25)),_general!$A$85:$B$92,2,),7,,,"Building Information"))="yes",'Building Information'!G83=_general!I45,'Building Information'!G84=_general!I53),1,0)</f>
        <v>1</v>
      </c>
      <c r="P36" s="111"/>
      <c r="Q36" s="111"/>
      <c r="R36" s="142" t="s">
        <v>863</v>
      </c>
      <c r="S36" s="142">
        <f>IF(OR('Building Information'!$G$47="yes",AND('Building Information'!$G$47="no",'Building Information'!$I$47=_general!$J$3)),1,0)</f>
        <v>1</v>
      </c>
      <c r="T36" s="142">
        <f t="shared" ref="T36:T59" ca="1" si="116">IF(OR(O36=1,AND(S36=1,R36="always")),1,0)</f>
        <v>1</v>
      </c>
      <c r="U36" s="323">
        <f t="shared" ref="U36:U59" ca="1" si="117">IF(O36=1,E36,0)</f>
        <v>2</v>
      </c>
      <c r="V36" s="323">
        <f t="shared" ca="1" si="54"/>
        <v>0</v>
      </c>
      <c r="W36" s="323">
        <f t="shared" ref="W36:W59" si="118">ISTEXT(J36)+ISTEXT(K36)+ISTEXT(L36)+ISTEXT(M36)+ISTEXT(N36)-1</f>
        <v>2</v>
      </c>
      <c r="X36" s="323">
        <f t="shared" ca="1" si="55"/>
        <v>2</v>
      </c>
      <c r="Y36" s="323" t="str">
        <f>VLOOKUP($B36,overview_of_services!$B$2:$T$123,$Y$2,FALSE)</f>
        <v>ventilation</v>
      </c>
      <c r="Z36" s="323">
        <f t="shared" ref="Z36:Z59" ca="1" si="119">VLOOKUP(B36,INDIRECT("'"&amp;Y36&amp;"'!"&amp;"C1:Z400"),$Z$2,0)+U36+$Z$4</f>
        <v>81</v>
      </c>
      <c r="AA36" s="323">
        <f t="shared" ca="1" si="115"/>
        <v>2</v>
      </c>
      <c r="AB36" s="323">
        <f t="shared" ca="1" si="115"/>
        <v>0</v>
      </c>
      <c r="AC36" s="323">
        <f t="shared" ca="1" si="115"/>
        <v>2</v>
      </c>
      <c r="AD36" s="323">
        <f t="shared" ca="1" si="115"/>
        <v>2</v>
      </c>
      <c r="AE36" s="323">
        <f t="shared" ca="1" si="115"/>
        <v>2</v>
      </c>
      <c r="AF36" s="323">
        <f t="shared" ca="1" si="115"/>
        <v>0</v>
      </c>
      <c r="AG36" s="323">
        <f t="shared" ca="1" si="115"/>
        <v>0</v>
      </c>
      <c r="AH36" s="323">
        <f t="shared" ca="1" si="57"/>
        <v>79</v>
      </c>
      <c r="AI36" s="323">
        <f t="shared" ca="1" si="58"/>
        <v>0</v>
      </c>
      <c r="AJ36" s="323">
        <f t="shared" ca="1" si="58"/>
        <v>0</v>
      </c>
      <c r="AK36" s="323">
        <f t="shared" ca="1" si="58"/>
        <v>0</v>
      </c>
      <c r="AL36" s="323">
        <f t="shared" ca="1" si="58"/>
        <v>0</v>
      </c>
      <c r="AM36" s="323">
        <f t="shared" ca="1" si="58"/>
        <v>0</v>
      </c>
      <c r="AN36" s="323">
        <f t="shared" ca="1" si="58"/>
        <v>0</v>
      </c>
      <c r="AO36" s="323">
        <f t="shared" ca="1" si="58"/>
        <v>0</v>
      </c>
      <c r="AP36" s="324"/>
      <c r="AQ36" s="324" t="s">
        <v>973</v>
      </c>
      <c r="AR36" s="325">
        <f>VLOOKUP(Y36,_general!$A$65:$B$73,2,FALSE)+$AR$4</f>
        <v>57</v>
      </c>
      <c r="AS36" s="326">
        <f t="shared" ca="1" si="59"/>
        <v>0.19459441427144347</v>
      </c>
      <c r="AT36" s="326">
        <f t="shared" ca="1" si="59"/>
        <v>0.18162145332001389</v>
      </c>
      <c r="AU36" s="326">
        <f t="shared" ca="1" si="59"/>
        <v>0.13333333333333333</v>
      </c>
      <c r="AV36" s="326">
        <f t="shared" ca="1" si="59"/>
        <v>0.1</v>
      </c>
      <c r="AW36" s="326">
        <f t="shared" ca="1" si="59"/>
        <v>0.4</v>
      </c>
      <c r="AX36" s="326">
        <f t="shared" ca="1" si="59"/>
        <v>0.19459441427144347</v>
      </c>
      <c r="AY36" s="326">
        <f t="shared" ca="1" si="59"/>
        <v>0.1142857142857143</v>
      </c>
      <c r="AZ36" s="429"/>
      <c r="BA36" s="427">
        <f t="shared" ca="1" si="89"/>
        <v>0.38918882854288694</v>
      </c>
      <c r="BB36" s="427">
        <f t="shared" ca="1" si="92"/>
        <v>0</v>
      </c>
      <c r="BC36" s="427">
        <f t="shared" ca="1" si="93"/>
        <v>0.26666666666666666</v>
      </c>
      <c r="BD36" s="427">
        <f t="shared" ca="1" si="94"/>
        <v>0.2</v>
      </c>
      <c r="BE36" s="427">
        <f t="shared" ca="1" si="95"/>
        <v>0.8</v>
      </c>
      <c r="BF36" s="427">
        <f t="shared" ca="1" si="96"/>
        <v>0</v>
      </c>
      <c r="BG36" s="427">
        <f t="shared" ca="1" si="97"/>
        <v>0</v>
      </c>
      <c r="BH36" s="434"/>
      <c r="BI36" s="427">
        <f t="shared" si="90"/>
        <v>0</v>
      </c>
      <c r="BJ36" s="427">
        <f t="shared" si="98"/>
        <v>0</v>
      </c>
      <c r="BK36" s="427">
        <f t="shared" si="99"/>
        <v>0</v>
      </c>
      <c r="BL36" s="427">
        <f t="shared" si="100"/>
        <v>0</v>
      </c>
      <c r="BM36" s="427">
        <f t="shared" si="101"/>
        <v>0</v>
      </c>
      <c r="BN36" s="427">
        <f t="shared" si="102"/>
        <v>0</v>
      </c>
      <c r="BO36" s="427">
        <f t="shared" si="103"/>
        <v>0</v>
      </c>
      <c r="BP36" s="428">
        <f t="shared" si="72"/>
        <v>67</v>
      </c>
      <c r="BQ36" s="327">
        <f t="shared" ca="1" si="91"/>
        <v>6.4864804757147815E-2</v>
      </c>
      <c r="BR36" s="327">
        <f t="shared" ca="1" si="73"/>
        <v>0</v>
      </c>
      <c r="BS36" s="327">
        <f t="shared" ca="1" si="74"/>
        <v>2.222222222222222E-2</v>
      </c>
      <c r="BT36" s="327">
        <f t="shared" ca="1" si="75"/>
        <v>1.6666666666666666E-2</v>
      </c>
      <c r="BU36" s="327">
        <f t="shared" ca="1" si="76"/>
        <v>6.6666666666666666E-2</v>
      </c>
      <c r="BV36" s="327">
        <f t="shared" ca="1" si="77"/>
        <v>0</v>
      </c>
      <c r="BW36" s="327">
        <f t="shared" ca="1" si="78"/>
        <v>0</v>
      </c>
      <c r="BY36" s="323" t="str">
        <f t="shared" si="79"/>
        <v>ventilation</v>
      </c>
      <c r="BZ36" s="323">
        <f t="shared" ref="BZ36:BZ59" ca="1" si="120">VLOOKUP(B36,INDIRECT("'"&amp;Y36&amp;"'!"&amp;"C1:Z500"),$Z$2,0)+X36+$Z$4</f>
        <v>81</v>
      </c>
      <c r="CA36" s="323">
        <f t="shared" ref="CA36:CA59" ca="1" si="121">IF($O36=1,INDIRECT(ADDRESS($BZ36,AI$2,1,,$BY36)),0)</f>
        <v>2</v>
      </c>
      <c r="CB36" s="323">
        <f t="shared" ref="CB36:CB59" ca="1" si="122">IF($O36=1,INDIRECT(ADDRESS($BZ36,AJ$2,1,,$BY36)),0)</f>
        <v>0</v>
      </c>
      <c r="CC36" s="323">
        <f t="shared" ref="CC36:CC59" ca="1" si="123">IF($O36=1,INDIRECT(ADDRESS($BZ36,AK$2,1,,$BY36)),0)</f>
        <v>2</v>
      </c>
      <c r="CD36" s="323">
        <f t="shared" ref="CD36:CD59" ca="1" si="124">IF($O36=1,INDIRECT(ADDRESS($BZ36,AL$2,1,,$BY36)),0)</f>
        <v>2</v>
      </c>
      <c r="CE36" s="323">
        <f t="shared" ref="CE36:CE59" ca="1" si="125">IF($O36=1,INDIRECT(ADDRESS($BZ36,AM$2,1,,$BY36)),0)</f>
        <v>2</v>
      </c>
      <c r="CF36" s="323">
        <f t="shared" ref="CF36:CF59" ca="1" si="126">IF($O36=1,INDIRECT(ADDRESS($BZ36,AN$2,1,,$BY36)),0)</f>
        <v>0</v>
      </c>
      <c r="CG36" s="323">
        <f t="shared" ref="CG36:CG59" ca="1" si="127">IF($O36=1,INDIRECT(ADDRESS($BZ36,AO$2,1,,$BY36)),0)</f>
        <v>0</v>
      </c>
      <c r="CI36" s="327">
        <f t="shared" ca="1" si="80"/>
        <v>0.38918882854288694</v>
      </c>
      <c r="CJ36" s="327">
        <f t="shared" ca="1" si="81"/>
        <v>0</v>
      </c>
      <c r="CK36" s="327">
        <f t="shared" ca="1" si="82"/>
        <v>0.26666666666666666</v>
      </c>
      <c r="CL36" s="327">
        <f t="shared" ca="1" si="83"/>
        <v>0.2</v>
      </c>
      <c r="CM36" s="327">
        <f t="shared" ca="1" si="84"/>
        <v>0.8</v>
      </c>
      <c r="CN36" s="327">
        <f t="shared" ca="1" si="85"/>
        <v>0</v>
      </c>
      <c r="CO36" s="327">
        <f t="shared" ca="1" si="86"/>
        <v>0</v>
      </c>
      <c r="CP36" s="328">
        <f t="shared" si="87"/>
        <v>67</v>
      </c>
      <c r="CQ36" s="327">
        <f t="shared" ref="CQ36:CQ59" ca="1" si="128">INDIRECT(ADDRESS($CP36,CQ$2,1,,"Weightings"))*CI36</f>
        <v>6.4864804757147815E-2</v>
      </c>
      <c r="CR36" s="327">
        <f t="shared" ref="CR36:CR59" ca="1" si="129">INDIRECT(ADDRESS($BP36,CR$2,1,,"Weightings"))*CJ36</f>
        <v>0</v>
      </c>
      <c r="CS36" s="327">
        <f t="shared" ref="CS36:CS59" ca="1" si="130">INDIRECT(ADDRESS($BP36,CS$2,1,,"Weightings"))*CK36</f>
        <v>2.222222222222222E-2</v>
      </c>
      <c r="CT36" s="327">
        <f t="shared" ref="CT36:CT59" ca="1" si="131">INDIRECT(ADDRESS($BP36,CT$2,1,,"Weightings"))*CL36</f>
        <v>1.6666666666666666E-2</v>
      </c>
      <c r="CU36" s="327">
        <f t="shared" ref="CU36:CU59" ca="1" si="132">INDIRECT(ADDRESS($BP36,CU$2,1,,"Weightings"))*CM36</f>
        <v>6.6666666666666666E-2</v>
      </c>
      <c r="CV36" s="327">
        <f t="shared" ref="CV36:CV59" ca="1" si="133">INDIRECT(ADDRESS($BP36,CV$2,1,,"Weightings"))*CN36</f>
        <v>0</v>
      </c>
      <c r="CW36" s="327">
        <f t="shared" ref="CW36:CW59" ca="1" si="134">INDIRECT(ADDRESS($BP36,CW$2,1,,"Weightings"))*CO36</f>
        <v>0</v>
      </c>
      <c r="CY36" s="332"/>
      <c r="CZ36" s="332"/>
      <c r="DA36" s="332"/>
      <c r="DB36" s="332"/>
      <c r="DC36" s="332"/>
      <c r="DD36" s="332"/>
      <c r="DE36" s="332"/>
      <c r="DF36" s="417"/>
      <c r="DG36" s="417"/>
    </row>
    <row r="37" spans="1:111" s="329" customFormat="1" ht="29" x14ac:dyDescent="0.35">
      <c r="A37" s="303" t="s">
        <v>917</v>
      </c>
      <c r="B37" s="16" t="s">
        <v>265</v>
      </c>
      <c r="C37" s="16" t="s">
        <v>247</v>
      </c>
      <c r="D37" s="16" t="s">
        <v>266</v>
      </c>
      <c r="E37" s="411"/>
      <c r="F37" s="412">
        <v>1</v>
      </c>
      <c r="G37" s="411">
        <v>0</v>
      </c>
      <c r="H37" s="406">
        <f t="shared" si="88"/>
        <v>0</v>
      </c>
      <c r="I37" s="415" t="str">
        <f ca="1">IF(AND(O37=1,OR(E37="",E37&lt;0,E37&gt;W37,AND(H37&gt;0,OR(G37="",G37&lt;0,G37&gt;W37)),F37&gt;1,F37&lt;0)),_general!$A$83,"")</f>
        <v/>
      </c>
      <c r="J37" s="110" t="s">
        <v>25</v>
      </c>
      <c r="K37" s="110" t="s">
        <v>267</v>
      </c>
      <c r="L37" s="110" t="s">
        <v>268</v>
      </c>
      <c r="M37" s="110" t="s">
        <v>269</v>
      </c>
      <c r="N37" s="110"/>
      <c r="O37" s="48">
        <f ca="1">IF(AND(INDIRECT(ADDRESS(VLOOKUP(INDIRECT(ADDRESS(ROW(),25)),_general!$A$85:$B$92,2,),7,,,"Building Information"))="yes",'Building Information'!G83=_general!I45,'Building Information'!G85=_general!I59),1,0)</f>
        <v>0</v>
      </c>
      <c r="P37" s="111"/>
      <c r="Q37" s="111"/>
      <c r="R37" s="142" t="s">
        <v>863</v>
      </c>
      <c r="S37" s="142">
        <f>IF(OR('Building Information'!$G$47="yes",AND('Building Information'!$G$47="no",'Building Information'!$I$47=_general!$J$3)),1,0)</f>
        <v>1</v>
      </c>
      <c r="T37" s="142">
        <f t="shared" ca="1" si="116"/>
        <v>0</v>
      </c>
      <c r="U37" s="323">
        <f t="shared" ca="1" si="117"/>
        <v>0</v>
      </c>
      <c r="V37" s="323">
        <f t="shared" ca="1" si="54"/>
        <v>0</v>
      </c>
      <c r="W37" s="323">
        <f t="shared" si="118"/>
        <v>3</v>
      </c>
      <c r="X37" s="323">
        <f t="shared" ca="1" si="55"/>
        <v>0</v>
      </c>
      <c r="Y37" s="323" t="str">
        <f>VLOOKUP($B37,overview_of_services!$B$2:$T$123,$Y$2,FALSE)</f>
        <v>ventilation</v>
      </c>
      <c r="Z37" s="323">
        <f t="shared" ca="1" si="119"/>
        <v>93</v>
      </c>
      <c r="AA37" s="323">
        <f t="shared" ca="1" si="115"/>
        <v>0</v>
      </c>
      <c r="AB37" s="323">
        <f t="shared" ca="1" si="115"/>
        <v>0</v>
      </c>
      <c r="AC37" s="323">
        <f t="shared" ca="1" si="115"/>
        <v>0</v>
      </c>
      <c r="AD37" s="323">
        <f t="shared" ca="1" si="115"/>
        <v>0</v>
      </c>
      <c r="AE37" s="323">
        <f t="shared" ca="1" si="115"/>
        <v>0</v>
      </c>
      <c r="AF37" s="323">
        <f t="shared" ca="1" si="115"/>
        <v>0</v>
      </c>
      <c r="AG37" s="323">
        <f t="shared" ca="1" si="115"/>
        <v>0</v>
      </c>
      <c r="AH37" s="323">
        <f t="shared" ca="1" si="57"/>
        <v>93</v>
      </c>
      <c r="AI37" s="323">
        <f t="shared" ref="AI37:AO59" ca="1" si="135">IF($O37=1,INDIRECT(ADDRESS($AH37,AI$2,1,,$Y37)),0)</f>
        <v>0</v>
      </c>
      <c r="AJ37" s="323">
        <f t="shared" ca="1" si="135"/>
        <v>0</v>
      </c>
      <c r="AK37" s="323">
        <f t="shared" ca="1" si="135"/>
        <v>0</v>
      </c>
      <c r="AL37" s="323">
        <f t="shared" ca="1" si="135"/>
        <v>0</v>
      </c>
      <c r="AM37" s="323">
        <f t="shared" ca="1" si="135"/>
        <v>0</v>
      </c>
      <c r="AN37" s="323">
        <f t="shared" ca="1" si="135"/>
        <v>0</v>
      </c>
      <c r="AO37" s="323">
        <f t="shared" ca="1" si="135"/>
        <v>0</v>
      </c>
      <c r="AP37" s="324"/>
      <c r="AQ37" s="324" t="s">
        <v>973</v>
      </c>
      <c r="AR37" s="325">
        <f>VLOOKUP(Y37,_general!$A$65:$B$73,2,FALSE)+$AR$4</f>
        <v>57</v>
      </c>
      <c r="AS37" s="326">
        <f t="shared" ref="AS37:AY59" ca="1" si="136">INDIRECT(ADDRESS($AR37,AS$2,1,,"Weightings"))</f>
        <v>0.19459441427144347</v>
      </c>
      <c r="AT37" s="326">
        <f t="shared" ca="1" si="136"/>
        <v>0.18162145332001389</v>
      </c>
      <c r="AU37" s="326">
        <f t="shared" ca="1" si="136"/>
        <v>0.13333333333333333</v>
      </c>
      <c r="AV37" s="326">
        <f t="shared" ca="1" si="136"/>
        <v>0.1</v>
      </c>
      <c r="AW37" s="326">
        <f t="shared" ca="1" si="136"/>
        <v>0.4</v>
      </c>
      <c r="AX37" s="326">
        <f t="shared" ca="1" si="136"/>
        <v>0.19459441427144347</v>
      </c>
      <c r="AY37" s="326">
        <f t="shared" ca="1" si="136"/>
        <v>0.1142857142857143</v>
      </c>
      <c r="AZ37" s="429"/>
      <c r="BA37" s="427">
        <f t="shared" ca="1" si="89"/>
        <v>0</v>
      </c>
      <c r="BB37" s="427">
        <f t="shared" ca="1" si="92"/>
        <v>0</v>
      </c>
      <c r="BC37" s="427">
        <f t="shared" ca="1" si="93"/>
        <v>0</v>
      </c>
      <c r="BD37" s="427">
        <f t="shared" ca="1" si="94"/>
        <v>0</v>
      </c>
      <c r="BE37" s="427">
        <f t="shared" ca="1" si="95"/>
        <v>0</v>
      </c>
      <c r="BF37" s="427">
        <f t="shared" ca="1" si="96"/>
        <v>0</v>
      </c>
      <c r="BG37" s="427">
        <f t="shared" ca="1" si="97"/>
        <v>0</v>
      </c>
      <c r="BH37" s="434"/>
      <c r="BI37" s="427">
        <f t="shared" si="90"/>
        <v>0</v>
      </c>
      <c r="BJ37" s="427">
        <f t="shared" si="98"/>
        <v>0</v>
      </c>
      <c r="BK37" s="427">
        <f t="shared" si="99"/>
        <v>0</v>
      </c>
      <c r="BL37" s="427">
        <f t="shared" si="100"/>
        <v>0</v>
      </c>
      <c r="BM37" s="427">
        <f t="shared" si="101"/>
        <v>0</v>
      </c>
      <c r="BN37" s="427">
        <f t="shared" si="102"/>
        <v>0</v>
      </c>
      <c r="BO37" s="427">
        <f t="shared" si="103"/>
        <v>0</v>
      </c>
      <c r="BP37" s="428">
        <f t="shared" si="72"/>
        <v>67</v>
      </c>
      <c r="BQ37" s="327">
        <f t="shared" ca="1" si="91"/>
        <v>0</v>
      </c>
      <c r="BR37" s="327">
        <f t="shared" ca="1" si="73"/>
        <v>0</v>
      </c>
      <c r="BS37" s="327">
        <f t="shared" ca="1" si="74"/>
        <v>0</v>
      </c>
      <c r="BT37" s="327">
        <f t="shared" ca="1" si="75"/>
        <v>0</v>
      </c>
      <c r="BU37" s="327">
        <f t="shared" ca="1" si="76"/>
        <v>0</v>
      </c>
      <c r="BV37" s="327">
        <f t="shared" ca="1" si="77"/>
        <v>0</v>
      </c>
      <c r="BW37" s="327">
        <f t="shared" ca="1" si="78"/>
        <v>0</v>
      </c>
      <c r="BY37" s="323" t="str">
        <f t="shared" si="79"/>
        <v>ventilation</v>
      </c>
      <c r="BZ37" s="323">
        <f t="shared" ca="1" si="120"/>
        <v>93</v>
      </c>
      <c r="CA37" s="323">
        <f t="shared" ca="1" si="121"/>
        <v>0</v>
      </c>
      <c r="CB37" s="323">
        <f t="shared" ca="1" si="122"/>
        <v>0</v>
      </c>
      <c r="CC37" s="323">
        <f t="shared" ca="1" si="123"/>
        <v>0</v>
      </c>
      <c r="CD37" s="323">
        <f t="shared" ca="1" si="124"/>
        <v>0</v>
      </c>
      <c r="CE37" s="323">
        <f t="shared" ca="1" si="125"/>
        <v>0</v>
      </c>
      <c r="CF37" s="323">
        <f t="shared" ca="1" si="126"/>
        <v>0</v>
      </c>
      <c r="CG37" s="323">
        <f t="shared" ca="1" si="127"/>
        <v>0</v>
      </c>
      <c r="CI37" s="327">
        <f t="shared" ca="1" si="80"/>
        <v>0</v>
      </c>
      <c r="CJ37" s="327">
        <f t="shared" ca="1" si="81"/>
        <v>0</v>
      </c>
      <c r="CK37" s="327">
        <f t="shared" ca="1" si="82"/>
        <v>0</v>
      </c>
      <c r="CL37" s="327">
        <f t="shared" ca="1" si="83"/>
        <v>0</v>
      </c>
      <c r="CM37" s="327">
        <f t="shared" ca="1" si="84"/>
        <v>0</v>
      </c>
      <c r="CN37" s="327">
        <f t="shared" ca="1" si="85"/>
        <v>0</v>
      </c>
      <c r="CO37" s="327">
        <f t="shared" ca="1" si="86"/>
        <v>0</v>
      </c>
      <c r="CP37" s="328">
        <f t="shared" si="87"/>
        <v>67</v>
      </c>
      <c r="CQ37" s="327">
        <f t="shared" ca="1" si="128"/>
        <v>0</v>
      </c>
      <c r="CR37" s="327">
        <f t="shared" ca="1" si="129"/>
        <v>0</v>
      </c>
      <c r="CS37" s="327">
        <f t="shared" ca="1" si="130"/>
        <v>0</v>
      </c>
      <c r="CT37" s="327">
        <f t="shared" ca="1" si="131"/>
        <v>0</v>
      </c>
      <c r="CU37" s="327">
        <f t="shared" ca="1" si="132"/>
        <v>0</v>
      </c>
      <c r="CV37" s="327">
        <f t="shared" ca="1" si="133"/>
        <v>0</v>
      </c>
      <c r="CW37" s="327">
        <f t="shared" ca="1" si="134"/>
        <v>0</v>
      </c>
      <c r="CY37" s="332"/>
      <c r="CZ37" s="332"/>
      <c r="DA37" s="332"/>
      <c r="DB37" s="332"/>
      <c r="DC37" s="332"/>
      <c r="DD37" s="332"/>
      <c r="DE37" s="332"/>
      <c r="DF37" s="417"/>
      <c r="DG37" s="417"/>
    </row>
    <row r="38" spans="1:111" s="329" customFormat="1" ht="29" x14ac:dyDescent="0.35">
      <c r="A38" s="303" t="s">
        <v>917</v>
      </c>
      <c r="B38" s="16" t="s">
        <v>272</v>
      </c>
      <c r="C38" s="16" t="s">
        <v>273</v>
      </c>
      <c r="D38" s="16" t="s">
        <v>274</v>
      </c>
      <c r="E38" s="411">
        <v>2</v>
      </c>
      <c r="F38" s="412">
        <v>1</v>
      </c>
      <c r="G38" s="411">
        <v>0</v>
      </c>
      <c r="H38" s="406">
        <f t="shared" si="88"/>
        <v>0</v>
      </c>
      <c r="I38" s="415" t="str">
        <f ca="1">IF(AND(O38=1,OR(E38="",E38&lt;0,E38&gt;W38,AND(H38&gt;0,OR(G38="",G38&lt;0,G38&gt;W38)),F38&gt;1,F38&lt;0)),_general!$A$83,"")</f>
        <v/>
      </c>
      <c r="J38" s="110" t="s">
        <v>25</v>
      </c>
      <c r="K38" s="110" t="s">
        <v>275</v>
      </c>
      <c r="L38" s="110" t="s">
        <v>273</v>
      </c>
      <c r="M38" s="110" t="s">
        <v>276</v>
      </c>
      <c r="N38" s="110"/>
      <c r="O38" s="48">
        <f ca="1">IF(AND(INDIRECT(ADDRESS(VLOOKUP(INDIRECT(ADDRESS(ROW(),25)),_general!$A$85:$B$92,2,),7,,,"Building Information"))="yes",'Building Information'!G83=_general!I45),1,0)</f>
        <v>1</v>
      </c>
      <c r="P38" s="111"/>
      <c r="Q38" s="111"/>
      <c r="R38" s="142" t="s">
        <v>863</v>
      </c>
      <c r="S38" s="142">
        <f>IF(OR('Building Information'!$G$47="yes",AND('Building Information'!$G$47="no",'Building Information'!$I$47=_general!$J$3)),1,0)</f>
        <v>1</v>
      </c>
      <c r="T38" s="142">
        <f t="shared" ca="1" si="116"/>
        <v>1</v>
      </c>
      <c r="U38" s="323">
        <f t="shared" ca="1" si="117"/>
        <v>2</v>
      </c>
      <c r="V38" s="323">
        <f t="shared" ca="1" si="54"/>
        <v>0</v>
      </c>
      <c r="W38" s="323">
        <f t="shared" si="118"/>
        <v>3</v>
      </c>
      <c r="X38" s="323">
        <f t="shared" ca="1" si="55"/>
        <v>3</v>
      </c>
      <c r="Y38" s="323" t="str">
        <f>VLOOKUP($B38,overview_of_services!$B$2:$T$123,$Y$2,FALSE)</f>
        <v>ventilation</v>
      </c>
      <c r="Z38" s="323">
        <f t="shared" ca="1" si="119"/>
        <v>109</v>
      </c>
      <c r="AA38" s="323">
        <f t="shared" ca="1" si="115"/>
        <v>2</v>
      </c>
      <c r="AB38" s="323">
        <f t="shared" ca="1" si="115"/>
        <v>0</v>
      </c>
      <c r="AC38" s="323">
        <f t="shared" ca="1" si="115"/>
        <v>2</v>
      </c>
      <c r="AD38" s="323">
        <f t="shared" ca="1" si="115"/>
        <v>2</v>
      </c>
      <c r="AE38" s="323">
        <f t="shared" ca="1" si="115"/>
        <v>1</v>
      </c>
      <c r="AF38" s="323">
        <f t="shared" ca="1" si="115"/>
        <v>0</v>
      </c>
      <c r="AG38" s="323">
        <f t="shared" ca="1" si="115"/>
        <v>0</v>
      </c>
      <c r="AH38" s="323">
        <f t="shared" ca="1" si="57"/>
        <v>107</v>
      </c>
      <c r="AI38" s="323">
        <f t="shared" ca="1" si="135"/>
        <v>0</v>
      </c>
      <c r="AJ38" s="323">
        <f t="shared" ca="1" si="135"/>
        <v>0</v>
      </c>
      <c r="AK38" s="323">
        <f t="shared" ca="1" si="135"/>
        <v>0</v>
      </c>
      <c r="AL38" s="323">
        <f t="shared" ca="1" si="135"/>
        <v>0</v>
      </c>
      <c r="AM38" s="323">
        <f t="shared" ca="1" si="135"/>
        <v>0</v>
      </c>
      <c r="AN38" s="323">
        <f t="shared" ca="1" si="135"/>
        <v>0</v>
      </c>
      <c r="AO38" s="323">
        <f t="shared" ca="1" si="135"/>
        <v>0</v>
      </c>
      <c r="AP38" s="324"/>
      <c r="AQ38" s="324" t="s">
        <v>973</v>
      </c>
      <c r="AR38" s="325">
        <f>VLOOKUP(Y38,_general!$A$65:$B$73,2,FALSE)+$AR$4</f>
        <v>57</v>
      </c>
      <c r="AS38" s="326">
        <f t="shared" ca="1" si="136"/>
        <v>0.19459441427144347</v>
      </c>
      <c r="AT38" s="326">
        <f t="shared" ca="1" si="136"/>
        <v>0.18162145332001389</v>
      </c>
      <c r="AU38" s="326">
        <f t="shared" ca="1" si="136"/>
        <v>0.13333333333333333</v>
      </c>
      <c r="AV38" s="326">
        <f t="shared" ca="1" si="136"/>
        <v>0.1</v>
      </c>
      <c r="AW38" s="326">
        <f t="shared" ca="1" si="136"/>
        <v>0.4</v>
      </c>
      <c r="AX38" s="326">
        <f t="shared" ca="1" si="136"/>
        <v>0.19459441427144347</v>
      </c>
      <c r="AY38" s="326">
        <f t="shared" ca="1" si="136"/>
        <v>0.1142857142857143</v>
      </c>
      <c r="AZ38" s="429"/>
      <c r="BA38" s="427">
        <f t="shared" ca="1" si="89"/>
        <v>0.38918882854288694</v>
      </c>
      <c r="BB38" s="427">
        <f t="shared" ca="1" si="92"/>
        <v>0</v>
      </c>
      <c r="BC38" s="427">
        <f t="shared" ca="1" si="93"/>
        <v>0.26666666666666666</v>
      </c>
      <c r="BD38" s="427">
        <f t="shared" ca="1" si="94"/>
        <v>0.2</v>
      </c>
      <c r="BE38" s="427">
        <f t="shared" ca="1" si="95"/>
        <v>0.4</v>
      </c>
      <c r="BF38" s="427">
        <f t="shared" ca="1" si="96"/>
        <v>0</v>
      </c>
      <c r="BG38" s="427">
        <f t="shared" ca="1" si="97"/>
        <v>0</v>
      </c>
      <c r="BH38" s="434"/>
      <c r="BI38" s="427">
        <f t="shared" si="90"/>
        <v>0</v>
      </c>
      <c r="BJ38" s="427">
        <f t="shared" si="98"/>
        <v>0</v>
      </c>
      <c r="BK38" s="427">
        <f t="shared" si="99"/>
        <v>0</v>
      </c>
      <c r="BL38" s="427">
        <f t="shared" si="100"/>
        <v>0</v>
      </c>
      <c r="BM38" s="427">
        <f t="shared" si="101"/>
        <v>0</v>
      </c>
      <c r="BN38" s="427">
        <f t="shared" si="102"/>
        <v>0</v>
      </c>
      <c r="BO38" s="427">
        <f t="shared" si="103"/>
        <v>0</v>
      </c>
      <c r="BP38" s="428">
        <f t="shared" si="72"/>
        <v>67</v>
      </c>
      <c r="BQ38" s="327">
        <f t="shared" ca="1" si="91"/>
        <v>6.4864804757147815E-2</v>
      </c>
      <c r="BR38" s="327">
        <f t="shared" ca="1" si="73"/>
        <v>0</v>
      </c>
      <c r="BS38" s="327">
        <f t="shared" ca="1" si="74"/>
        <v>2.222222222222222E-2</v>
      </c>
      <c r="BT38" s="327">
        <f t="shared" ca="1" si="75"/>
        <v>1.6666666666666666E-2</v>
      </c>
      <c r="BU38" s="327">
        <f t="shared" ca="1" si="76"/>
        <v>3.3333333333333333E-2</v>
      </c>
      <c r="BV38" s="327">
        <f t="shared" ca="1" si="77"/>
        <v>0</v>
      </c>
      <c r="BW38" s="327">
        <f t="shared" ca="1" si="78"/>
        <v>0</v>
      </c>
      <c r="BY38" s="323" t="str">
        <f t="shared" si="79"/>
        <v>ventilation</v>
      </c>
      <c r="BZ38" s="323">
        <f t="shared" ca="1" si="120"/>
        <v>110</v>
      </c>
      <c r="CA38" s="323">
        <f t="shared" ca="1" si="121"/>
        <v>3</v>
      </c>
      <c r="CB38" s="323">
        <f t="shared" ca="1" si="122"/>
        <v>0</v>
      </c>
      <c r="CC38" s="323">
        <f t="shared" ca="1" si="123"/>
        <v>2</v>
      </c>
      <c r="CD38" s="323">
        <f t="shared" ca="1" si="124"/>
        <v>2</v>
      </c>
      <c r="CE38" s="323">
        <f t="shared" ca="1" si="125"/>
        <v>1</v>
      </c>
      <c r="CF38" s="323">
        <f t="shared" ca="1" si="126"/>
        <v>0</v>
      </c>
      <c r="CG38" s="323">
        <f t="shared" ca="1" si="127"/>
        <v>0</v>
      </c>
      <c r="CI38" s="327">
        <f t="shared" ca="1" si="80"/>
        <v>0.58378324281433036</v>
      </c>
      <c r="CJ38" s="327">
        <f t="shared" ca="1" si="81"/>
        <v>0</v>
      </c>
      <c r="CK38" s="327">
        <f t="shared" ca="1" si="82"/>
        <v>0.26666666666666666</v>
      </c>
      <c r="CL38" s="327">
        <f t="shared" ca="1" si="83"/>
        <v>0.2</v>
      </c>
      <c r="CM38" s="327">
        <f t="shared" ca="1" si="84"/>
        <v>0.4</v>
      </c>
      <c r="CN38" s="327">
        <f t="shared" ca="1" si="85"/>
        <v>0</v>
      </c>
      <c r="CO38" s="327">
        <f t="shared" ca="1" si="86"/>
        <v>0</v>
      </c>
      <c r="CP38" s="328">
        <f t="shared" si="87"/>
        <v>67</v>
      </c>
      <c r="CQ38" s="327">
        <f t="shared" ca="1" si="128"/>
        <v>9.7297207135721722E-2</v>
      </c>
      <c r="CR38" s="327">
        <f t="shared" ca="1" si="129"/>
        <v>0</v>
      </c>
      <c r="CS38" s="327">
        <f t="shared" ca="1" si="130"/>
        <v>2.222222222222222E-2</v>
      </c>
      <c r="CT38" s="327">
        <f t="shared" ca="1" si="131"/>
        <v>1.6666666666666666E-2</v>
      </c>
      <c r="CU38" s="327">
        <f t="shared" ca="1" si="132"/>
        <v>3.3333333333333333E-2</v>
      </c>
      <c r="CV38" s="327">
        <f t="shared" ca="1" si="133"/>
        <v>0</v>
      </c>
      <c r="CW38" s="327">
        <f t="shared" ca="1" si="134"/>
        <v>0</v>
      </c>
      <c r="CY38" s="332"/>
      <c r="CZ38" s="332"/>
      <c r="DA38" s="332"/>
      <c r="DB38" s="332"/>
      <c r="DC38" s="332"/>
      <c r="DD38" s="332"/>
      <c r="DE38" s="332"/>
      <c r="DF38" s="417"/>
      <c r="DG38" s="417"/>
    </row>
    <row r="39" spans="1:111" s="329" customFormat="1" ht="119.5" customHeight="1" x14ac:dyDescent="0.35">
      <c r="A39" s="303" t="s">
        <v>917</v>
      </c>
      <c r="B39" s="16" t="s">
        <v>289</v>
      </c>
      <c r="C39" s="16" t="s">
        <v>290</v>
      </c>
      <c r="D39" s="16" t="s">
        <v>291</v>
      </c>
      <c r="E39" s="411">
        <v>1</v>
      </c>
      <c r="F39" s="412">
        <v>1</v>
      </c>
      <c r="G39" s="411">
        <v>0</v>
      </c>
      <c r="H39" s="406">
        <f t="shared" si="88"/>
        <v>0</v>
      </c>
      <c r="I39" s="415" t="str">
        <f ca="1">IF(AND(O39=1,OR(E39="",E39&lt;0,E39&gt;W39,AND(H39&gt;0,OR(G39="",G39&lt;0,G39&gt;W39)),F39&gt;1,F39&lt;0)),_general!$A$83,"")</f>
        <v/>
      </c>
      <c r="J39" s="110" t="s">
        <v>81</v>
      </c>
      <c r="K39" s="110" t="s">
        <v>1096</v>
      </c>
      <c r="L39" s="110" t="s">
        <v>1097</v>
      </c>
      <c r="M39" s="110" t="s">
        <v>1098</v>
      </c>
      <c r="N39" s="110" t="s">
        <v>1100</v>
      </c>
      <c r="O39" s="48">
        <f ca="1">IF(INDIRECT(ADDRESS(VLOOKUP(INDIRECT(ADDRESS(ROW(),25)),_general!$A$85:$B$92,2,),7,,,"Building Information"))="yes",1,0)</f>
        <v>1</v>
      </c>
      <c r="P39" s="111"/>
      <c r="Q39" s="111"/>
      <c r="R39" s="142" t="s">
        <v>978</v>
      </c>
      <c r="S39" s="142">
        <f>IF(OR('Building Information'!$G$47="yes",AND('Building Information'!$G$47="no",'Building Information'!$I$47=_general!$J$3)),1,0)</f>
        <v>1</v>
      </c>
      <c r="T39" s="142">
        <f t="shared" ca="1" si="116"/>
        <v>1</v>
      </c>
      <c r="U39" s="323">
        <f t="shared" ca="1" si="117"/>
        <v>1</v>
      </c>
      <c r="V39" s="323">
        <f t="shared" ca="1" si="54"/>
        <v>0</v>
      </c>
      <c r="W39" s="323">
        <f t="shared" si="118"/>
        <v>4</v>
      </c>
      <c r="X39" s="323">
        <f t="shared" ca="1" si="55"/>
        <v>4</v>
      </c>
      <c r="Y39" s="323" t="str">
        <f>VLOOKUP($B39,overview_of_services!$B$2:$T$123,$Y$2,FALSE)</f>
        <v>ventilation</v>
      </c>
      <c r="Z39" s="323">
        <f t="shared" ca="1" si="119"/>
        <v>150</v>
      </c>
      <c r="AA39" s="323">
        <f t="shared" ca="1" si="115"/>
        <v>0</v>
      </c>
      <c r="AB39" s="323">
        <f t="shared" ca="1" si="115"/>
        <v>0</v>
      </c>
      <c r="AC39" s="323">
        <f t="shared" ca="1" si="115"/>
        <v>0</v>
      </c>
      <c r="AD39" s="323">
        <f t="shared" ca="1" si="115"/>
        <v>0</v>
      </c>
      <c r="AE39" s="323">
        <f t="shared" ca="1" si="115"/>
        <v>0</v>
      </c>
      <c r="AF39" s="323">
        <f t="shared" ca="1" si="115"/>
        <v>1</v>
      </c>
      <c r="AG39" s="323">
        <f t="shared" ca="1" si="115"/>
        <v>1</v>
      </c>
      <c r="AH39" s="323">
        <f t="shared" ca="1" si="57"/>
        <v>149</v>
      </c>
      <c r="AI39" s="323">
        <f t="shared" ca="1" si="135"/>
        <v>0</v>
      </c>
      <c r="AJ39" s="323">
        <f t="shared" ca="1" si="135"/>
        <v>0</v>
      </c>
      <c r="AK39" s="323">
        <f t="shared" ca="1" si="135"/>
        <v>0</v>
      </c>
      <c r="AL39" s="323">
        <f t="shared" ca="1" si="135"/>
        <v>0</v>
      </c>
      <c r="AM39" s="323">
        <f t="shared" ca="1" si="135"/>
        <v>0</v>
      </c>
      <c r="AN39" s="323">
        <f t="shared" ca="1" si="135"/>
        <v>0</v>
      </c>
      <c r="AO39" s="323">
        <f t="shared" ca="1" si="135"/>
        <v>0</v>
      </c>
      <c r="AP39" s="324"/>
      <c r="AQ39" s="324" t="s">
        <v>973</v>
      </c>
      <c r="AR39" s="325">
        <f>VLOOKUP(Y39,_general!$A$65:$B$73,2,FALSE)+$AR$4</f>
        <v>57</v>
      </c>
      <c r="AS39" s="326">
        <f t="shared" ca="1" si="136"/>
        <v>0.19459441427144347</v>
      </c>
      <c r="AT39" s="326">
        <f t="shared" ca="1" si="136"/>
        <v>0.18162145332001389</v>
      </c>
      <c r="AU39" s="326">
        <f t="shared" ca="1" si="136"/>
        <v>0.13333333333333333</v>
      </c>
      <c r="AV39" s="326">
        <f t="shared" ca="1" si="136"/>
        <v>0.1</v>
      </c>
      <c r="AW39" s="326">
        <f t="shared" ca="1" si="136"/>
        <v>0.4</v>
      </c>
      <c r="AX39" s="326">
        <f t="shared" ca="1" si="136"/>
        <v>0.19459441427144347</v>
      </c>
      <c r="AY39" s="326">
        <f t="shared" ca="1" si="136"/>
        <v>0.1142857142857143</v>
      </c>
      <c r="AZ39" s="429"/>
      <c r="BA39" s="427">
        <f t="shared" ca="1" si="89"/>
        <v>0</v>
      </c>
      <c r="BB39" s="427">
        <f t="shared" ca="1" si="92"/>
        <v>0</v>
      </c>
      <c r="BC39" s="427">
        <f t="shared" ca="1" si="93"/>
        <v>0</v>
      </c>
      <c r="BD39" s="427">
        <f t="shared" ca="1" si="94"/>
        <v>0</v>
      </c>
      <c r="BE39" s="427">
        <f t="shared" ca="1" si="95"/>
        <v>0</v>
      </c>
      <c r="BF39" s="427">
        <f t="shared" ca="1" si="96"/>
        <v>0.19459441427144347</v>
      </c>
      <c r="BG39" s="427">
        <f t="shared" ca="1" si="97"/>
        <v>0.1142857142857143</v>
      </c>
      <c r="BH39" s="434"/>
      <c r="BI39" s="427">
        <f t="shared" si="90"/>
        <v>0</v>
      </c>
      <c r="BJ39" s="427">
        <f t="shared" si="98"/>
        <v>0</v>
      </c>
      <c r="BK39" s="427">
        <f t="shared" si="99"/>
        <v>0</v>
      </c>
      <c r="BL39" s="427">
        <f t="shared" si="100"/>
        <v>0</v>
      </c>
      <c r="BM39" s="427">
        <f t="shared" si="101"/>
        <v>0</v>
      </c>
      <c r="BN39" s="427">
        <f t="shared" si="102"/>
        <v>0</v>
      </c>
      <c r="BO39" s="427">
        <f t="shared" si="103"/>
        <v>0</v>
      </c>
      <c r="BP39" s="428">
        <f t="shared" si="72"/>
        <v>67</v>
      </c>
      <c r="BQ39" s="327">
        <f t="shared" ca="1" si="91"/>
        <v>0</v>
      </c>
      <c r="BR39" s="327">
        <f t="shared" ca="1" si="73"/>
        <v>0</v>
      </c>
      <c r="BS39" s="327">
        <f t="shared" ca="1" si="74"/>
        <v>0</v>
      </c>
      <c r="BT39" s="327">
        <f t="shared" ca="1" si="75"/>
        <v>0</v>
      </c>
      <c r="BU39" s="327">
        <f t="shared" ca="1" si="76"/>
        <v>0</v>
      </c>
      <c r="BV39" s="327">
        <f t="shared" ca="1" si="77"/>
        <v>3.2432402378573907E-2</v>
      </c>
      <c r="BW39" s="327">
        <f t="shared" ca="1" si="78"/>
        <v>9.5238095238095247E-3</v>
      </c>
      <c r="BY39" s="323" t="str">
        <f t="shared" si="79"/>
        <v>ventilation</v>
      </c>
      <c r="BZ39" s="323">
        <f t="shared" ca="1" si="120"/>
        <v>153</v>
      </c>
      <c r="CA39" s="323">
        <f t="shared" ca="1" si="121"/>
        <v>0</v>
      </c>
      <c r="CB39" s="323">
        <f t="shared" ca="1" si="122"/>
        <v>0</v>
      </c>
      <c r="CC39" s="323">
        <f t="shared" ca="1" si="123"/>
        <v>0</v>
      </c>
      <c r="CD39" s="323">
        <f t="shared" ca="1" si="124"/>
        <v>1</v>
      </c>
      <c r="CE39" s="323">
        <f t="shared" ca="1" si="125"/>
        <v>0</v>
      </c>
      <c r="CF39" s="323">
        <f t="shared" ca="1" si="126"/>
        <v>2</v>
      </c>
      <c r="CG39" s="323">
        <f t="shared" ca="1" si="127"/>
        <v>3</v>
      </c>
      <c r="CI39" s="327">
        <f t="shared" ca="1" si="80"/>
        <v>0</v>
      </c>
      <c r="CJ39" s="327">
        <f t="shared" ca="1" si="81"/>
        <v>0</v>
      </c>
      <c r="CK39" s="327">
        <f t="shared" ca="1" si="82"/>
        <v>0</v>
      </c>
      <c r="CL39" s="327">
        <f t="shared" ca="1" si="83"/>
        <v>0.1</v>
      </c>
      <c r="CM39" s="327">
        <f t="shared" ca="1" si="84"/>
        <v>0</v>
      </c>
      <c r="CN39" s="327">
        <f t="shared" ca="1" si="85"/>
        <v>0.38918882854288694</v>
      </c>
      <c r="CO39" s="327">
        <f t="shared" ca="1" si="86"/>
        <v>0.34285714285714286</v>
      </c>
      <c r="CP39" s="328">
        <f t="shared" si="87"/>
        <v>67</v>
      </c>
      <c r="CQ39" s="327">
        <f t="shared" ca="1" si="128"/>
        <v>0</v>
      </c>
      <c r="CR39" s="327">
        <f t="shared" ca="1" si="129"/>
        <v>0</v>
      </c>
      <c r="CS39" s="327">
        <f t="shared" ca="1" si="130"/>
        <v>0</v>
      </c>
      <c r="CT39" s="327">
        <f t="shared" ca="1" si="131"/>
        <v>8.3333333333333332E-3</v>
      </c>
      <c r="CU39" s="327">
        <f t="shared" ca="1" si="132"/>
        <v>0</v>
      </c>
      <c r="CV39" s="327">
        <f t="shared" ca="1" si="133"/>
        <v>6.4864804757147815E-2</v>
      </c>
      <c r="CW39" s="327">
        <f t="shared" ca="1" si="134"/>
        <v>2.8571428571428571E-2</v>
      </c>
      <c r="CY39" s="332"/>
      <c r="CZ39" s="332"/>
      <c r="DA39" s="332"/>
      <c r="DB39" s="332"/>
      <c r="DC39" s="332"/>
      <c r="DD39" s="332"/>
      <c r="DE39" s="332"/>
      <c r="DF39" s="417"/>
      <c r="DG39" s="417"/>
    </row>
    <row r="40" spans="1:111" s="333" customFormat="1" ht="29" x14ac:dyDescent="0.35">
      <c r="A40" s="304" t="s">
        <v>917</v>
      </c>
      <c r="B40" s="17" t="s">
        <v>294</v>
      </c>
      <c r="C40" s="17" t="s">
        <v>295</v>
      </c>
      <c r="D40" s="17" t="s">
        <v>296</v>
      </c>
      <c r="E40" s="411">
        <v>3</v>
      </c>
      <c r="F40" s="412">
        <v>1</v>
      </c>
      <c r="G40" s="411">
        <v>0</v>
      </c>
      <c r="H40" s="406">
        <f t="shared" si="88"/>
        <v>0</v>
      </c>
      <c r="I40" s="415" t="str">
        <f ca="1">IF(AND(O40=1,OR(E40="",E40&lt;0,E40&gt;W40,AND(H40&gt;0,OR(G40="",G40&lt;0,G40&gt;W40)),F40&gt;1,F40&lt;0)),_general!$A$83,"")</f>
        <v/>
      </c>
      <c r="J40" s="110" t="s">
        <v>297</v>
      </c>
      <c r="K40" s="110" t="s">
        <v>298</v>
      </c>
      <c r="L40" s="110" t="s">
        <v>299</v>
      </c>
      <c r="M40" s="110" t="s">
        <v>300</v>
      </c>
      <c r="N40" s="110"/>
      <c r="O40" s="48">
        <f ca="1">IF(INDIRECT(ADDRESS(VLOOKUP(INDIRECT(ADDRESS(ROW(),25)),_general!$A$85:$B$92,2,),7,,,"Building Information"))="yes",1,0)</f>
        <v>1</v>
      </c>
      <c r="P40" s="111"/>
      <c r="Q40" s="111"/>
      <c r="R40" s="142" t="s">
        <v>978</v>
      </c>
      <c r="S40" s="142">
        <f>IF(OR('Building Information'!$G$48="yes",AND('Building Information'!$G$48="no",'Building Information'!$I$48=_general!$J$3)),1,0)</f>
        <v>1</v>
      </c>
      <c r="T40" s="142">
        <f t="shared" ca="1" si="116"/>
        <v>1</v>
      </c>
      <c r="U40" s="323">
        <f t="shared" ca="1" si="117"/>
        <v>3</v>
      </c>
      <c r="V40" s="323">
        <f t="shared" ca="1" si="54"/>
        <v>0</v>
      </c>
      <c r="W40" s="323">
        <f t="shared" si="118"/>
        <v>3</v>
      </c>
      <c r="X40" s="323">
        <f t="shared" ca="1" si="55"/>
        <v>3</v>
      </c>
      <c r="Y40" s="323" t="str">
        <f>VLOOKUP($B40,overview_of_services!$B$2:$T$123,$Y$2,FALSE)</f>
        <v>lighting</v>
      </c>
      <c r="Z40" s="323">
        <f t="shared" ca="1" si="119"/>
        <v>11</v>
      </c>
      <c r="AA40" s="323">
        <f t="shared" ca="1" si="115"/>
        <v>2</v>
      </c>
      <c r="AB40" s="323">
        <f t="shared" ca="1" si="115"/>
        <v>0</v>
      </c>
      <c r="AC40" s="323">
        <f t="shared" ca="1" si="115"/>
        <v>2</v>
      </c>
      <c r="AD40" s="323">
        <f t="shared" ca="1" si="115"/>
        <v>2</v>
      </c>
      <c r="AE40" s="323">
        <f t="shared" ca="1" si="115"/>
        <v>0</v>
      </c>
      <c r="AF40" s="323">
        <f t="shared" ca="1" si="115"/>
        <v>0</v>
      </c>
      <c r="AG40" s="323">
        <f t="shared" ca="1" si="115"/>
        <v>0</v>
      </c>
      <c r="AH40" s="323">
        <f t="shared" ca="1" si="57"/>
        <v>8</v>
      </c>
      <c r="AI40" s="323">
        <f t="shared" ca="1" si="135"/>
        <v>0</v>
      </c>
      <c r="AJ40" s="323">
        <f t="shared" ca="1" si="135"/>
        <v>0</v>
      </c>
      <c r="AK40" s="323">
        <f t="shared" ca="1" si="135"/>
        <v>0</v>
      </c>
      <c r="AL40" s="323">
        <f t="shared" ca="1" si="135"/>
        <v>0</v>
      </c>
      <c r="AM40" s="323">
        <f t="shared" ca="1" si="135"/>
        <v>0</v>
      </c>
      <c r="AN40" s="323">
        <f t="shared" ca="1" si="135"/>
        <v>0</v>
      </c>
      <c r="AO40" s="323">
        <f t="shared" ca="1" si="135"/>
        <v>0</v>
      </c>
      <c r="AP40" s="324"/>
      <c r="AQ40" s="324" t="s">
        <v>973</v>
      </c>
      <c r="AR40" s="325">
        <f>VLOOKUP(Y40,_general!$A$65:$B$73,2,FALSE)+$AR$4</f>
        <v>58</v>
      </c>
      <c r="AS40" s="326">
        <f t="shared" ca="1" si="136"/>
        <v>8.0761912526481877E-2</v>
      </c>
      <c r="AT40" s="326">
        <f t="shared" ca="1" si="136"/>
        <v>7.5377785024716412E-2</v>
      </c>
      <c r="AU40" s="326">
        <f t="shared" ca="1" si="136"/>
        <v>0.13333333333333333</v>
      </c>
      <c r="AV40" s="326">
        <f t="shared" ca="1" si="136"/>
        <v>0.1</v>
      </c>
      <c r="AW40" s="326">
        <f t="shared" ca="1" si="136"/>
        <v>0</v>
      </c>
      <c r="AX40" s="326">
        <f t="shared" ca="1" si="136"/>
        <v>8.0761912526481877E-2</v>
      </c>
      <c r="AY40" s="326">
        <f t="shared" ca="1" si="136"/>
        <v>0</v>
      </c>
      <c r="AZ40" s="429"/>
      <c r="BA40" s="427">
        <f t="shared" ca="1" si="89"/>
        <v>0.16152382505296375</v>
      </c>
      <c r="BB40" s="427">
        <f t="shared" ca="1" si="92"/>
        <v>0</v>
      </c>
      <c r="BC40" s="427">
        <f t="shared" ca="1" si="93"/>
        <v>0.26666666666666666</v>
      </c>
      <c r="BD40" s="427">
        <f t="shared" ca="1" si="94"/>
        <v>0.2</v>
      </c>
      <c r="BE40" s="427">
        <f t="shared" ca="1" si="95"/>
        <v>0</v>
      </c>
      <c r="BF40" s="427">
        <f t="shared" ca="1" si="96"/>
        <v>0</v>
      </c>
      <c r="BG40" s="427">
        <f t="shared" ca="1" si="97"/>
        <v>0</v>
      </c>
      <c r="BH40" s="434"/>
      <c r="BI40" s="427">
        <f t="shared" si="90"/>
        <v>0</v>
      </c>
      <c r="BJ40" s="427">
        <f t="shared" si="98"/>
        <v>0</v>
      </c>
      <c r="BK40" s="427">
        <f t="shared" si="99"/>
        <v>0</v>
      </c>
      <c r="BL40" s="427">
        <f t="shared" si="100"/>
        <v>0</v>
      </c>
      <c r="BM40" s="427">
        <f t="shared" si="101"/>
        <v>0</v>
      </c>
      <c r="BN40" s="427">
        <f t="shared" si="102"/>
        <v>0</v>
      </c>
      <c r="BO40" s="427">
        <f t="shared" si="103"/>
        <v>0</v>
      </c>
      <c r="BP40" s="428">
        <f t="shared" si="72"/>
        <v>67</v>
      </c>
      <c r="BQ40" s="327">
        <f t="shared" ca="1" si="91"/>
        <v>2.692063750882729E-2</v>
      </c>
      <c r="BR40" s="327">
        <f t="shared" ca="1" si="73"/>
        <v>0</v>
      </c>
      <c r="BS40" s="327">
        <f t="shared" ca="1" si="74"/>
        <v>2.222222222222222E-2</v>
      </c>
      <c r="BT40" s="327">
        <f t="shared" ca="1" si="75"/>
        <v>1.6666666666666666E-2</v>
      </c>
      <c r="BU40" s="327">
        <f t="shared" ca="1" si="76"/>
        <v>0</v>
      </c>
      <c r="BV40" s="327">
        <f t="shared" ca="1" si="77"/>
        <v>0</v>
      </c>
      <c r="BW40" s="327">
        <f t="shared" ca="1" si="78"/>
        <v>0</v>
      </c>
      <c r="BY40" s="323" t="str">
        <f t="shared" si="79"/>
        <v>lighting</v>
      </c>
      <c r="BZ40" s="323">
        <f t="shared" ca="1" si="120"/>
        <v>11</v>
      </c>
      <c r="CA40" s="323">
        <f t="shared" ca="1" si="121"/>
        <v>2</v>
      </c>
      <c r="CB40" s="323">
        <f t="shared" ca="1" si="122"/>
        <v>0</v>
      </c>
      <c r="CC40" s="323">
        <f t="shared" ca="1" si="123"/>
        <v>2</v>
      </c>
      <c r="CD40" s="323">
        <f t="shared" ca="1" si="124"/>
        <v>2</v>
      </c>
      <c r="CE40" s="323">
        <f t="shared" ca="1" si="125"/>
        <v>0</v>
      </c>
      <c r="CF40" s="323">
        <f t="shared" ca="1" si="126"/>
        <v>0</v>
      </c>
      <c r="CG40" s="323">
        <f t="shared" ca="1" si="127"/>
        <v>0</v>
      </c>
      <c r="CI40" s="327">
        <f t="shared" ca="1" si="80"/>
        <v>0.16152382505296375</v>
      </c>
      <c r="CJ40" s="327">
        <f t="shared" ca="1" si="81"/>
        <v>0</v>
      </c>
      <c r="CK40" s="327">
        <f t="shared" ca="1" si="82"/>
        <v>0.26666666666666666</v>
      </c>
      <c r="CL40" s="327">
        <f t="shared" ca="1" si="83"/>
        <v>0.2</v>
      </c>
      <c r="CM40" s="327">
        <f t="shared" ca="1" si="84"/>
        <v>0</v>
      </c>
      <c r="CN40" s="327">
        <f t="shared" ca="1" si="85"/>
        <v>0</v>
      </c>
      <c r="CO40" s="327">
        <f t="shared" ca="1" si="86"/>
        <v>0</v>
      </c>
      <c r="CP40" s="328">
        <f t="shared" si="87"/>
        <v>67</v>
      </c>
      <c r="CQ40" s="327">
        <f t="shared" ca="1" si="128"/>
        <v>2.692063750882729E-2</v>
      </c>
      <c r="CR40" s="327">
        <f t="shared" ca="1" si="129"/>
        <v>0</v>
      </c>
      <c r="CS40" s="327">
        <f t="shared" ca="1" si="130"/>
        <v>2.222222222222222E-2</v>
      </c>
      <c r="CT40" s="327">
        <f t="shared" ca="1" si="131"/>
        <v>1.6666666666666666E-2</v>
      </c>
      <c r="CU40" s="327">
        <f t="shared" ca="1" si="132"/>
        <v>0</v>
      </c>
      <c r="CV40" s="327">
        <f t="shared" ca="1" si="133"/>
        <v>0</v>
      </c>
      <c r="CW40" s="327">
        <f t="shared" ca="1" si="134"/>
        <v>0</v>
      </c>
      <c r="CY40" s="334"/>
      <c r="CZ40" s="334"/>
      <c r="DA40" s="334"/>
      <c r="DB40" s="334"/>
      <c r="DC40" s="334"/>
      <c r="DD40" s="334"/>
      <c r="DE40" s="334"/>
      <c r="DF40" s="418"/>
      <c r="DG40" s="418"/>
    </row>
    <row r="41" spans="1:111" s="329" customFormat="1" ht="145" x14ac:dyDescent="0.35">
      <c r="A41" s="303" t="s">
        <v>917</v>
      </c>
      <c r="B41" s="17" t="s">
        <v>309</v>
      </c>
      <c r="C41" s="17" t="s">
        <v>310</v>
      </c>
      <c r="D41" s="17" t="s">
        <v>310</v>
      </c>
      <c r="E41" s="411">
        <v>2</v>
      </c>
      <c r="F41" s="412">
        <v>1</v>
      </c>
      <c r="G41" s="411">
        <v>0</v>
      </c>
      <c r="H41" s="406">
        <f t="shared" si="88"/>
        <v>0</v>
      </c>
      <c r="I41" s="415" t="str">
        <f ca="1">IF(AND(O41=1,OR(E41="",E41&lt;0,E41&gt;W41,AND(H41&gt;0,OR(G41="",G41&lt;0,G41&gt;W41)),F41&gt;1,F41&lt;0)),_general!$A$83,"")</f>
        <v/>
      </c>
      <c r="J41" s="110" t="s">
        <v>311</v>
      </c>
      <c r="K41" s="110" t="s">
        <v>312</v>
      </c>
      <c r="L41" s="110" t="s">
        <v>313</v>
      </c>
      <c r="M41" s="110" t="s">
        <v>314</v>
      </c>
      <c r="N41" s="110" t="s">
        <v>315</v>
      </c>
      <c r="O41" s="48">
        <f ca="1">IF(INDIRECT(ADDRESS(VLOOKUP(INDIRECT(ADDRESS(ROW(),25)),_general!$A$85:$B$92,2,),7,,,"Building Information"))="yes",1,0)</f>
        <v>1</v>
      </c>
      <c r="P41" s="111"/>
      <c r="Q41" s="111"/>
      <c r="R41" s="142" t="s">
        <v>978</v>
      </c>
      <c r="S41" s="142">
        <f>IF(OR('Building Information'!$G$48="yes",AND('Building Information'!$G$48="no",'Building Information'!$I$48=_general!$J$3)),1,0)</f>
        <v>1</v>
      </c>
      <c r="T41" s="142">
        <f t="shared" ca="1" si="116"/>
        <v>1</v>
      </c>
      <c r="U41" s="323">
        <f t="shared" ca="1" si="117"/>
        <v>2</v>
      </c>
      <c r="V41" s="323">
        <f t="shared" ca="1" si="54"/>
        <v>0</v>
      </c>
      <c r="W41" s="323">
        <f t="shared" si="118"/>
        <v>4</v>
      </c>
      <c r="X41" s="323">
        <f t="shared" ca="1" si="55"/>
        <v>4</v>
      </c>
      <c r="Y41" s="323" t="str">
        <f>VLOOKUP($B41,overview_of_services!$B$2:$T$123,$Y$2,FALSE)</f>
        <v>lighting</v>
      </c>
      <c r="Z41" s="323">
        <f t="shared" ca="1" si="119"/>
        <v>38</v>
      </c>
      <c r="AA41" s="323">
        <f t="shared" ca="1" si="115"/>
        <v>2</v>
      </c>
      <c r="AB41" s="323">
        <f t="shared" ca="1" si="115"/>
        <v>0</v>
      </c>
      <c r="AC41" s="323">
        <f t="shared" ca="1" si="115"/>
        <v>1</v>
      </c>
      <c r="AD41" s="323">
        <f t="shared" ca="1" si="115"/>
        <v>1</v>
      </c>
      <c r="AE41" s="323">
        <f t="shared" ca="1" si="115"/>
        <v>1</v>
      </c>
      <c r="AF41" s="323">
        <f t="shared" ca="1" si="115"/>
        <v>0</v>
      </c>
      <c r="AG41" s="323">
        <f t="shared" ca="1" si="115"/>
        <v>0</v>
      </c>
      <c r="AH41" s="323">
        <f t="shared" ca="1" si="57"/>
        <v>36</v>
      </c>
      <c r="AI41" s="323">
        <f t="shared" ca="1" si="135"/>
        <v>0</v>
      </c>
      <c r="AJ41" s="323">
        <f t="shared" ca="1" si="135"/>
        <v>0</v>
      </c>
      <c r="AK41" s="323">
        <f t="shared" ca="1" si="135"/>
        <v>0</v>
      </c>
      <c r="AL41" s="323">
        <f t="shared" ca="1" si="135"/>
        <v>0</v>
      </c>
      <c r="AM41" s="323">
        <f t="shared" ca="1" si="135"/>
        <v>0</v>
      </c>
      <c r="AN41" s="323">
        <f t="shared" ca="1" si="135"/>
        <v>0</v>
      </c>
      <c r="AO41" s="323">
        <f t="shared" ca="1" si="135"/>
        <v>0</v>
      </c>
      <c r="AP41" s="324"/>
      <c r="AQ41" s="324" t="s">
        <v>973</v>
      </c>
      <c r="AR41" s="325">
        <f>VLOOKUP(Y41,_general!$A$65:$B$73,2,FALSE)+$AR$4</f>
        <v>58</v>
      </c>
      <c r="AS41" s="326">
        <f t="shared" ca="1" si="136"/>
        <v>8.0761912526481877E-2</v>
      </c>
      <c r="AT41" s="326">
        <f t="shared" ca="1" si="136"/>
        <v>7.5377785024716412E-2</v>
      </c>
      <c r="AU41" s="326">
        <f t="shared" ca="1" si="136"/>
        <v>0.13333333333333333</v>
      </c>
      <c r="AV41" s="326">
        <f t="shared" ca="1" si="136"/>
        <v>0.1</v>
      </c>
      <c r="AW41" s="326">
        <f t="shared" ca="1" si="136"/>
        <v>0</v>
      </c>
      <c r="AX41" s="326">
        <f t="shared" ca="1" si="136"/>
        <v>8.0761912526481877E-2</v>
      </c>
      <c r="AY41" s="326">
        <f t="shared" ca="1" si="136"/>
        <v>0</v>
      </c>
      <c r="AZ41" s="429"/>
      <c r="BA41" s="427">
        <f t="shared" ca="1" si="89"/>
        <v>0.16152382505296375</v>
      </c>
      <c r="BB41" s="427">
        <f t="shared" ca="1" si="92"/>
        <v>0</v>
      </c>
      <c r="BC41" s="427">
        <f t="shared" ca="1" si="93"/>
        <v>0.13333333333333333</v>
      </c>
      <c r="BD41" s="427">
        <f t="shared" ca="1" si="94"/>
        <v>0.1</v>
      </c>
      <c r="BE41" s="427">
        <f t="shared" ca="1" si="95"/>
        <v>0</v>
      </c>
      <c r="BF41" s="427">
        <f t="shared" ca="1" si="96"/>
        <v>0</v>
      </c>
      <c r="BG41" s="427">
        <f t="shared" ca="1" si="97"/>
        <v>0</v>
      </c>
      <c r="BH41" s="434"/>
      <c r="BI41" s="427">
        <f t="shared" si="90"/>
        <v>0</v>
      </c>
      <c r="BJ41" s="427">
        <f t="shared" si="98"/>
        <v>0</v>
      </c>
      <c r="BK41" s="427">
        <f t="shared" si="99"/>
        <v>0</v>
      </c>
      <c r="BL41" s="427">
        <f t="shared" si="100"/>
        <v>0</v>
      </c>
      <c r="BM41" s="427">
        <f t="shared" si="101"/>
        <v>0</v>
      </c>
      <c r="BN41" s="427">
        <f t="shared" si="102"/>
        <v>0</v>
      </c>
      <c r="BO41" s="427">
        <f t="shared" si="103"/>
        <v>0</v>
      </c>
      <c r="BP41" s="428">
        <f t="shared" si="72"/>
        <v>67</v>
      </c>
      <c r="BQ41" s="327">
        <f t="shared" ca="1" si="91"/>
        <v>2.692063750882729E-2</v>
      </c>
      <c r="BR41" s="327">
        <f t="shared" ca="1" si="73"/>
        <v>0</v>
      </c>
      <c r="BS41" s="327">
        <f t="shared" ca="1" si="74"/>
        <v>1.111111111111111E-2</v>
      </c>
      <c r="BT41" s="327">
        <f t="shared" ca="1" si="75"/>
        <v>8.3333333333333332E-3</v>
      </c>
      <c r="BU41" s="327">
        <f t="shared" ca="1" si="76"/>
        <v>0</v>
      </c>
      <c r="BV41" s="327">
        <f t="shared" ca="1" si="77"/>
        <v>0</v>
      </c>
      <c r="BW41" s="327">
        <f t="shared" ca="1" si="78"/>
        <v>0</v>
      </c>
      <c r="BY41" s="323" t="str">
        <f t="shared" si="79"/>
        <v>lighting</v>
      </c>
      <c r="BZ41" s="323">
        <f t="shared" ca="1" si="120"/>
        <v>40</v>
      </c>
      <c r="CA41" s="323">
        <f t="shared" ca="1" si="121"/>
        <v>3</v>
      </c>
      <c r="CB41" s="323">
        <f t="shared" ca="1" si="122"/>
        <v>0</v>
      </c>
      <c r="CC41" s="323">
        <f t="shared" ca="1" si="123"/>
        <v>3</v>
      </c>
      <c r="CD41" s="323">
        <f t="shared" ca="1" si="124"/>
        <v>3</v>
      </c>
      <c r="CE41" s="323">
        <f t="shared" ca="1" si="125"/>
        <v>3</v>
      </c>
      <c r="CF41" s="323">
        <f t="shared" ca="1" si="126"/>
        <v>0</v>
      </c>
      <c r="CG41" s="323">
        <f t="shared" ca="1" si="127"/>
        <v>0</v>
      </c>
      <c r="CI41" s="327">
        <f t="shared" ca="1" si="80"/>
        <v>0.24228573757944563</v>
      </c>
      <c r="CJ41" s="327">
        <f t="shared" ca="1" si="81"/>
        <v>0</v>
      </c>
      <c r="CK41" s="327">
        <f t="shared" ca="1" si="82"/>
        <v>0.4</v>
      </c>
      <c r="CL41" s="327">
        <f t="shared" ca="1" si="83"/>
        <v>0.30000000000000004</v>
      </c>
      <c r="CM41" s="327">
        <f t="shared" ca="1" si="84"/>
        <v>0</v>
      </c>
      <c r="CN41" s="327">
        <f t="shared" ca="1" si="85"/>
        <v>0</v>
      </c>
      <c r="CO41" s="327">
        <f t="shared" ca="1" si="86"/>
        <v>0</v>
      </c>
      <c r="CP41" s="328">
        <f t="shared" si="87"/>
        <v>67</v>
      </c>
      <c r="CQ41" s="327">
        <f t="shared" ca="1" si="128"/>
        <v>4.0380956263240939E-2</v>
      </c>
      <c r="CR41" s="327">
        <f t="shared" ca="1" si="129"/>
        <v>0</v>
      </c>
      <c r="CS41" s="327">
        <f t="shared" ca="1" si="130"/>
        <v>3.3333333333333333E-2</v>
      </c>
      <c r="CT41" s="327">
        <f t="shared" ca="1" si="131"/>
        <v>2.5000000000000001E-2</v>
      </c>
      <c r="CU41" s="327">
        <f t="shared" ca="1" si="132"/>
        <v>0</v>
      </c>
      <c r="CV41" s="327">
        <f t="shared" ca="1" si="133"/>
        <v>0</v>
      </c>
      <c r="CW41" s="327">
        <f t="shared" ca="1" si="134"/>
        <v>0</v>
      </c>
      <c r="CY41" s="332"/>
      <c r="CZ41" s="332"/>
      <c r="DA41" s="332"/>
      <c r="DB41" s="332"/>
      <c r="DC41" s="332"/>
      <c r="DD41" s="332"/>
      <c r="DE41" s="332"/>
      <c r="DF41" s="417"/>
      <c r="DG41" s="417"/>
    </row>
    <row r="42" spans="1:111" s="329" customFormat="1" ht="29" x14ac:dyDescent="0.35">
      <c r="A42" s="303" t="s">
        <v>917</v>
      </c>
      <c r="B42" s="18" t="s">
        <v>317</v>
      </c>
      <c r="C42" s="18" t="s">
        <v>318</v>
      </c>
      <c r="D42" s="18" t="s">
        <v>319</v>
      </c>
      <c r="E42" s="411">
        <v>0</v>
      </c>
      <c r="F42" s="412">
        <v>1</v>
      </c>
      <c r="G42" s="411">
        <v>0</v>
      </c>
      <c r="H42" s="406">
        <f t="shared" si="88"/>
        <v>0</v>
      </c>
      <c r="I42" s="415" t="str">
        <f ca="1">IF(AND(O42=1,OR(E42="",E42&lt;0,E42&gt;W42,AND(H42&gt;0,OR(G42="",G42&lt;0,G42&gt;W42)),F42&gt;1,F42&lt;0)),_general!$A$83,"")</f>
        <v/>
      </c>
      <c r="J42" s="110" t="s">
        <v>320</v>
      </c>
      <c r="K42" s="110" t="s">
        <v>321</v>
      </c>
      <c r="L42" s="110" t="s">
        <v>322</v>
      </c>
      <c r="M42" s="110" t="s">
        <v>323</v>
      </c>
      <c r="N42" s="110" t="s">
        <v>324</v>
      </c>
      <c r="O42" s="48">
        <f ca="1">IF(INDIRECT(ADDRESS(VLOOKUP(INDIRECT(ADDRESS(ROW(),25)),_general!$A$85:$B$92,2,),7,,,"Building Information"))="yes",1,0)</f>
        <v>1</v>
      </c>
      <c r="P42" s="111"/>
      <c r="Q42" s="111"/>
      <c r="R42" s="142" t="s">
        <v>863</v>
      </c>
      <c r="S42" s="142">
        <f>IF(OR('Building Information'!$G$49="yes",AND('Building Information'!$G$49="no",'Building Information'!$I$49=_general!$J$3)),1,0)</f>
        <v>1</v>
      </c>
      <c r="T42" s="142">
        <f t="shared" ca="1" si="116"/>
        <v>1</v>
      </c>
      <c r="U42" s="323">
        <f t="shared" ca="1" si="117"/>
        <v>0</v>
      </c>
      <c r="V42" s="323">
        <f t="shared" ca="1" si="54"/>
        <v>0</v>
      </c>
      <c r="W42" s="323">
        <f t="shared" si="118"/>
        <v>4</v>
      </c>
      <c r="X42" s="323">
        <f t="shared" ca="1" si="55"/>
        <v>4</v>
      </c>
      <c r="Y42" s="323" t="str">
        <f>VLOOKUP($B42,overview_of_services!$B$2:$T$123,$Y$2,FALSE)</f>
        <v>DE</v>
      </c>
      <c r="Z42" s="323">
        <f t="shared" ca="1" si="119"/>
        <v>8</v>
      </c>
      <c r="AA42" s="323">
        <f t="shared" ca="1" si="115"/>
        <v>0</v>
      </c>
      <c r="AB42" s="323">
        <f t="shared" ca="1" si="115"/>
        <v>0</v>
      </c>
      <c r="AC42" s="323">
        <f t="shared" ca="1" si="115"/>
        <v>0</v>
      </c>
      <c r="AD42" s="323">
        <f t="shared" ca="1" si="115"/>
        <v>0</v>
      </c>
      <c r="AE42" s="323">
        <f t="shared" ca="1" si="115"/>
        <v>0</v>
      </c>
      <c r="AF42" s="323">
        <f t="shared" ca="1" si="115"/>
        <v>0</v>
      </c>
      <c r="AG42" s="323">
        <f t="shared" ca="1" si="115"/>
        <v>0</v>
      </c>
      <c r="AH42" s="323">
        <f t="shared" ca="1" si="57"/>
        <v>8</v>
      </c>
      <c r="AI42" s="323">
        <f t="shared" ca="1" si="135"/>
        <v>0</v>
      </c>
      <c r="AJ42" s="323">
        <f t="shared" ca="1" si="135"/>
        <v>0</v>
      </c>
      <c r="AK42" s="323">
        <f t="shared" ca="1" si="135"/>
        <v>0</v>
      </c>
      <c r="AL42" s="323">
        <f t="shared" ca="1" si="135"/>
        <v>0</v>
      </c>
      <c r="AM42" s="323">
        <f t="shared" ca="1" si="135"/>
        <v>0</v>
      </c>
      <c r="AN42" s="323">
        <f t="shared" ca="1" si="135"/>
        <v>0</v>
      </c>
      <c r="AO42" s="323">
        <f t="shared" ca="1" si="135"/>
        <v>0</v>
      </c>
      <c r="AP42" s="324"/>
      <c r="AQ42" s="324" t="s">
        <v>973</v>
      </c>
      <c r="AR42" s="325">
        <f>VLOOKUP(Y42,_general!$A$65:$B$73,2,FALSE)+$AR$4</f>
        <v>60</v>
      </c>
      <c r="AS42" s="326">
        <f t="shared" ca="1" si="136"/>
        <v>0.05</v>
      </c>
      <c r="AT42" s="326">
        <f t="shared" ca="1" si="136"/>
        <v>0.05</v>
      </c>
      <c r="AU42" s="326">
        <f t="shared" ca="1" si="136"/>
        <v>0.13333333333333333</v>
      </c>
      <c r="AV42" s="326">
        <f t="shared" ca="1" si="136"/>
        <v>0.1</v>
      </c>
      <c r="AW42" s="326">
        <f t="shared" ca="1" si="136"/>
        <v>0.4</v>
      </c>
      <c r="AX42" s="326">
        <f t="shared" ca="1" si="136"/>
        <v>0.05</v>
      </c>
      <c r="AY42" s="326">
        <f t="shared" ca="1" si="136"/>
        <v>0.1142857142857143</v>
      </c>
      <c r="AZ42" s="429"/>
      <c r="BA42" s="427">
        <f t="shared" ca="1" si="89"/>
        <v>0</v>
      </c>
      <c r="BB42" s="427">
        <f t="shared" ca="1" si="92"/>
        <v>0</v>
      </c>
      <c r="BC42" s="427">
        <f t="shared" ca="1" si="93"/>
        <v>0</v>
      </c>
      <c r="BD42" s="427">
        <f t="shared" ca="1" si="94"/>
        <v>0</v>
      </c>
      <c r="BE42" s="427">
        <f t="shared" ca="1" si="95"/>
        <v>0</v>
      </c>
      <c r="BF42" s="427">
        <f t="shared" ca="1" si="96"/>
        <v>0</v>
      </c>
      <c r="BG42" s="427">
        <f t="shared" ca="1" si="97"/>
        <v>0</v>
      </c>
      <c r="BH42" s="434"/>
      <c r="BI42" s="427">
        <f t="shared" si="90"/>
        <v>0</v>
      </c>
      <c r="BJ42" s="427">
        <f t="shared" si="98"/>
        <v>0</v>
      </c>
      <c r="BK42" s="427">
        <f t="shared" si="99"/>
        <v>0</v>
      </c>
      <c r="BL42" s="427">
        <f t="shared" si="100"/>
        <v>0</v>
      </c>
      <c r="BM42" s="427">
        <f t="shared" si="101"/>
        <v>0</v>
      </c>
      <c r="BN42" s="427">
        <f t="shared" si="102"/>
        <v>0</v>
      </c>
      <c r="BO42" s="427">
        <f t="shared" si="103"/>
        <v>0</v>
      </c>
      <c r="BP42" s="428">
        <f t="shared" si="72"/>
        <v>67</v>
      </c>
      <c r="BQ42" s="327">
        <f t="shared" ca="1" si="91"/>
        <v>0</v>
      </c>
      <c r="BR42" s="327">
        <f t="shared" ca="1" si="73"/>
        <v>0</v>
      </c>
      <c r="BS42" s="327">
        <f t="shared" ca="1" si="74"/>
        <v>0</v>
      </c>
      <c r="BT42" s="327">
        <f t="shared" ca="1" si="75"/>
        <v>0</v>
      </c>
      <c r="BU42" s="327">
        <f t="shared" ca="1" si="76"/>
        <v>0</v>
      </c>
      <c r="BV42" s="327">
        <f t="shared" ca="1" si="77"/>
        <v>0</v>
      </c>
      <c r="BW42" s="327">
        <f t="shared" ca="1" si="78"/>
        <v>0</v>
      </c>
      <c r="BY42" s="323" t="str">
        <f t="shared" si="79"/>
        <v>DE</v>
      </c>
      <c r="BZ42" s="323">
        <f t="shared" ca="1" si="120"/>
        <v>12</v>
      </c>
      <c r="CA42" s="323">
        <f t="shared" ca="1" si="121"/>
        <v>3</v>
      </c>
      <c r="CB42" s="323">
        <f t="shared" ca="1" si="122"/>
        <v>0</v>
      </c>
      <c r="CC42" s="323">
        <f t="shared" ca="1" si="123"/>
        <v>3</v>
      </c>
      <c r="CD42" s="323">
        <f t="shared" ca="1" si="124"/>
        <v>3</v>
      </c>
      <c r="CE42" s="323">
        <f t="shared" ca="1" si="125"/>
        <v>1</v>
      </c>
      <c r="CF42" s="323">
        <f t="shared" ca="1" si="126"/>
        <v>0</v>
      </c>
      <c r="CG42" s="323">
        <f t="shared" ca="1" si="127"/>
        <v>0</v>
      </c>
      <c r="CI42" s="327">
        <f t="shared" ca="1" si="80"/>
        <v>0.15000000000000002</v>
      </c>
      <c r="CJ42" s="327">
        <f t="shared" ca="1" si="81"/>
        <v>0</v>
      </c>
      <c r="CK42" s="327">
        <f t="shared" ca="1" si="82"/>
        <v>0.4</v>
      </c>
      <c r="CL42" s="327">
        <f t="shared" ca="1" si="83"/>
        <v>0.30000000000000004</v>
      </c>
      <c r="CM42" s="327">
        <f t="shared" ca="1" si="84"/>
        <v>0.4</v>
      </c>
      <c r="CN42" s="327">
        <f t="shared" ca="1" si="85"/>
        <v>0</v>
      </c>
      <c r="CO42" s="327">
        <f t="shared" ca="1" si="86"/>
        <v>0</v>
      </c>
      <c r="CP42" s="328">
        <f t="shared" si="87"/>
        <v>67</v>
      </c>
      <c r="CQ42" s="327">
        <f t="shared" ca="1" si="128"/>
        <v>2.5000000000000001E-2</v>
      </c>
      <c r="CR42" s="327">
        <f t="shared" ca="1" si="129"/>
        <v>0</v>
      </c>
      <c r="CS42" s="327">
        <f t="shared" ca="1" si="130"/>
        <v>3.3333333333333333E-2</v>
      </c>
      <c r="CT42" s="327">
        <f t="shared" ca="1" si="131"/>
        <v>2.5000000000000001E-2</v>
      </c>
      <c r="CU42" s="327">
        <f t="shared" ca="1" si="132"/>
        <v>3.3333333333333333E-2</v>
      </c>
      <c r="CV42" s="327">
        <f t="shared" ca="1" si="133"/>
        <v>0</v>
      </c>
      <c r="CW42" s="327">
        <f t="shared" ca="1" si="134"/>
        <v>0</v>
      </c>
      <c r="CY42" s="332"/>
      <c r="CZ42" s="332"/>
      <c r="DA42" s="332"/>
      <c r="DB42" s="332"/>
      <c r="DC42" s="332"/>
      <c r="DD42" s="332"/>
      <c r="DE42" s="332"/>
      <c r="DF42" s="417"/>
      <c r="DG42" s="417"/>
    </row>
    <row r="43" spans="1:111" s="329" customFormat="1" ht="43.5" x14ac:dyDescent="0.35">
      <c r="A43" s="303" t="s">
        <v>917</v>
      </c>
      <c r="B43" s="18" t="s">
        <v>328</v>
      </c>
      <c r="C43" s="18" t="s">
        <v>318</v>
      </c>
      <c r="D43" s="18" t="s">
        <v>329</v>
      </c>
      <c r="E43" s="411">
        <v>0</v>
      </c>
      <c r="F43" s="412">
        <v>1</v>
      </c>
      <c r="G43" s="411">
        <v>0</v>
      </c>
      <c r="H43" s="406">
        <f t="shared" si="88"/>
        <v>0</v>
      </c>
      <c r="I43" s="415" t="str">
        <f ca="1">IF(AND(O43=1,OR(E43="",E43&lt;0,E43&gt;W43,AND(H43&gt;0,OR(G43="",G43&lt;0,G43&gt;W43)),F43&gt;1,F43&lt;0)),_general!$A$83,"")</f>
        <v/>
      </c>
      <c r="J43" s="110" t="s">
        <v>330</v>
      </c>
      <c r="K43" s="110" t="s">
        <v>331</v>
      </c>
      <c r="L43" s="110" t="s">
        <v>332</v>
      </c>
      <c r="M43" s="110" t="s">
        <v>333</v>
      </c>
      <c r="N43" s="110"/>
      <c r="O43" s="48">
        <f ca="1">IF(INDIRECT(ADDRESS(VLOOKUP(INDIRECT(ADDRESS(ROW(),25)),_general!$A$85:$B$92,2,),7,,,"Building Information"))="yes",1,0)</f>
        <v>1</v>
      </c>
      <c r="P43" s="111"/>
      <c r="Q43" s="111"/>
      <c r="R43" s="142" t="s">
        <v>863</v>
      </c>
      <c r="S43" s="142">
        <f>IF(OR('Building Information'!$G$49="yes",AND('Building Information'!$G$49="no",'Building Information'!$I$49=_general!$J$3)),1,0)</f>
        <v>1</v>
      </c>
      <c r="T43" s="142">
        <f t="shared" ca="1" si="116"/>
        <v>1</v>
      </c>
      <c r="U43" s="323">
        <f t="shared" ca="1" si="117"/>
        <v>0</v>
      </c>
      <c r="V43" s="323">
        <f t="shared" ca="1" si="54"/>
        <v>0</v>
      </c>
      <c r="W43" s="323">
        <f t="shared" si="118"/>
        <v>3</v>
      </c>
      <c r="X43" s="323">
        <f t="shared" ca="1" si="55"/>
        <v>3</v>
      </c>
      <c r="Y43" s="323" t="str">
        <f>VLOOKUP($B43,overview_of_services!$B$2:$T$123,$Y$2,FALSE)</f>
        <v>DE</v>
      </c>
      <c r="Z43" s="323">
        <f t="shared" ca="1" si="119"/>
        <v>22</v>
      </c>
      <c r="AA43" s="323">
        <f t="shared" ca="1" si="115"/>
        <v>0</v>
      </c>
      <c r="AB43" s="323">
        <f t="shared" ca="1" si="115"/>
        <v>0</v>
      </c>
      <c r="AC43" s="323">
        <f t="shared" ca="1" si="115"/>
        <v>0</v>
      </c>
      <c r="AD43" s="323">
        <f t="shared" ca="1" si="115"/>
        <v>0</v>
      </c>
      <c r="AE43" s="323">
        <f t="shared" ca="1" si="115"/>
        <v>0</v>
      </c>
      <c r="AF43" s="323">
        <f t="shared" ca="1" si="115"/>
        <v>0</v>
      </c>
      <c r="AG43" s="323">
        <f t="shared" ca="1" si="115"/>
        <v>0</v>
      </c>
      <c r="AH43" s="323">
        <f t="shared" ca="1" si="57"/>
        <v>22</v>
      </c>
      <c r="AI43" s="323">
        <f t="shared" ca="1" si="135"/>
        <v>0</v>
      </c>
      <c r="AJ43" s="323">
        <f t="shared" ca="1" si="135"/>
        <v>0</v>
      </c>
      <c r="AK43" s="323">
        <f t="shared" ca="1" si="135"/>
        <v>0</v>
      </c>
      <c r="AL43" s="323">
        <f t="shared" ca="1" si="135"/>
        <v>0</v>
      </c>
      <c r="AM43" s="323">
        <f t="shared" ca="1" si="135"/>
        <v>0</v>
      </c>
      <c r="AN43" s="323">
        <f t="shared" ca="1" si="135"/>
        <v>0</v>
      </c>
      <c r="AO43" s="323">
        <f t="shared" ca="1" si="135"/>
        <v>0</v>
      </c>
      <c r="AP43" s="324"/>
      <c r="AQ43" s="324" t="s">
        <v>973</v>
      </c>
      <c r="AR43" s="325">
        <f>VLOOKUP(Y43,_general!$A$65:$B$73,2,FALSE)+$AR$4</f>
        <v>60</v>
      </c>
      <c r="AS43" s="326">
        <f t="shared" ca="1" si="136"/>
        <v>0.05</v>
      </c>
      <c r="AT43" s="326">
        <f t="shared" ca="1" si="136"/>
        <v>0.05</v>
      </c>
      <c r="AU43" s="326">
        <f t="shared" ca="1" si="136"/>
        <v>0.13333333333333333</v>
      </c>
      <c r="AV43" s="326">
        <f t="shared" ca="1" si="136"/>
        <v>0.1</v>
      </c>
      <c r="AW43" s="326">
        <f t="shared" ca="1" si="136"/>
        <v>0.4</v>
      </c>
      <c r="AX43" s="326">
        <f t="shared" ca="1" si="136"/>
        <v>0.05</v>
      </c>
      <c r="AY43" s="326">
        <f t="shared" ca="1" si="136"/>
        <v>0.1142857142857143</v>
      </c>
      <c r="AZ43" s="429"/>
      <c r="BA43" s="427">
        <f t="shared" ca="1" si="89"/>
        <v>0</v>
      </c>
      <c r="BB43" s="427">
        <f t="shared" ca="1" si="92"/>
        <v>0</v>
      </c>
      <c r="BC43" s="427">
        <f t="shared" ca="1" si="93"/>
        <v>0</v>
      </c>
      <c r="BD43" s="427">
        <f t="shared" ca="1" si="94"/>
        <v>0</v>
      </c>
      <c r="BE43" s="427">
        <f t="shared" ca="1" si="95"/>
        <v>0</v>
      </c>
      <c r="BF43" s="427">
        <f t="shared" ca="1" si="96"/>
        <v>0</v>
      </c>
      <c r="BG43" s="427">
        <f t="shared" ca="1" si="97"/>
        <v>0</v>
      </c>
      <c r="BH43" s="434"/>
      <c r="BI43" s="427">
        <f t="shared" si="90"/>
        <v>0</v>
      </c>
      <c r="BJ43" s="427">
        <f t="shared" si="98"/>
        <v>0</v>
      </c>
      <c r="BK43" s="427">
        <f t="shared" si="99"/>
        <v>0</v>
      </c>
      <c r="BL43" s="427">
        <f t="shared" si="100"/>
        <v>0</v>
      </c>
      <c r="BM43" s="427">
        <f t="shared" si="101"/>
        <v>0</v>
      </c>
      <c r="BN43" s="427">
        <f t="shared" si="102"/>
        <v>0</v>
      </c>
      <c r="BO43" s="427">
        <f t="shared" si="103"/>
        <v>0</v>
      </c>
      <c r="BP43" s="428">
        <f t="shared" si="72"/>
        <v>67</v>
      </c>
      <c r="BQ43" s="327">
        <f t="shared" ca="1" si="91"/>
        <v>0</v>
      </c>
      <c r="BR43" s="327">
        <f t="shared" ca="1" si="73"/>
        <v>0</v>
      </c>
      <c r="BS43" s="327">
        <f t="shared" ca="1" si="74"/>
        <v>0</v>
      </c>
      <c r="BT43" s="327">
        <f t="shared" ca="1" si="75"/>
        <v>0</v>
      </c>
      <c r="BU43" s="327">
        <f t="shared" ca="1" si="76"/>
        <v>0</v>
      </c>
      <c r="BV43" s="327">
        <f t="shared" ca="1" si="77"/>
        <v>0</v>
      </c>
      <c r="BW43" s="327">
        <f t="shared" ca="1" si="78"/>
        <v>0</v>
      </c>
      <c r="BY43" s="323" t="str">
        <f t="shared" si="79"/>
        <v>DE</v>
      </c>
      <c r="BZ43" s="323">
        <f t="shared" ca="1" si="120"/>
        <v>25</v>
      </c>
      <c r="CA43" s="323">
        <f t="shared" ca="1" si="121"/>
        <v>2</v>
      </c>
      <c r="CB43" s="323">
        <f t="shared" ca="1" si="122"/>
        <v>0</v>
      </c>
      <c r="CC43" s="323">
        <f t="shared" ca="1" si="123"/>
        <v>2</v>
      </c>
      <c r="CD43" s="323">
        <f t="shared" ca="1" si="124"/>
        <v>2</v>
      </c>
      <c r="CE43" s="323">
        <f t="shared" ca="1" si="125"/>
        <v>1</v>
      </c>
      <c r="CF43" s="323">
        <f t="shared" ca="1" si="126"/>
        <v>0</v>
      </c>
      <c r="CG43" s="323">
        <f t="shared" ca="1" si="127"/>
        <v>0</v>
      </c>
      <c r="CI43" s="327">
        <f t="shared" ca="1" si="80"/>
        <v>0.1</v>
      </c>
      <c r="CJ43" s="327">
        <f t="shared" ca="1" si="81"/>
        <v>0</v>
      </c>
      <c r="CK43" s="327">
        <f t="shared" ca="1" si="82"/>
        <v>0.26666666666666666</v>
      </c>
      <c r="CL43" s="327">
        <f t="shared" ca="1" si="83"/>
        <v>0.2</v>
      </c>
      <c r="CM43" s="327">
        <f t="shared" ca="1" si="84"/>
        <v>0.4</v>
      </c>
      <c r="CN43" s="327">
        <f t="shared" ca="1" si="85"/>
        <v>0</v>
      </c>
      <c r="CO43" s="327">
        <f t="shared" ca="1" si="86"/>
        <v>0</v>
      </c>
      <c r="CP43" s="328">
        <f t="shared" si="87"/>
        <v>67</v>
      </c>
      <c r="CQ43" s="327">
        <f t="shared" ca="1" si="128"/>
        <v>1.6666666666666666E-2</v>
      </c>
      <c r="CR43" s="327">
        <f t="shared" ca="1" si="129"/>
        <v>0</v>
      </c>
      <c r="CS43" s="327">
        <f t="shared" ca="1" si="130"/>
        <v>2.222222222222222E-2</v>
      </c>
      <c r="CT43" s="327">
        <f t="shared" ca="1" si="131"/>
        <v>1.6666666666666666E-2</v>
      </c>
      <c r="CU43" s="327">
        <f t="shared" ca="1" si="132"/>
        <v>3.3333333333333333E-2</v>
      </c>
      <c r="CV43" s="327">
        <f t="shared" ca="1" si="133"/>
        <v>0</v>
      </c>
      <c r="CW43" s="327">
        <f t="shared" ca="1" si="134"/>
        <v>0</v>
      </c>
      <c r="CY43" s="332"/>
      <c r="CZ43" s="332"/>
      <c r="DA43" s="332"/>
      <c r="DB43" s="332"/>
      <c r="DC43" s="332"/>
      <c r="DD43" s="332"/>
      <c r="DE43" s="332"/>
      <c r="DF43" s="417"/>
      <c r="DG43" s="417"/>
    </row>
    <row r="44" spans="1:111" s="329" customFormat="1" ht="79" customHeight="1" x14ac:dyDescent="0.35">
      <c r="A44" s="303" t="s">
        <v>917</v>
      </c>
      <c r="B44" s="18" t="s">
        <v>1085</v>
      </c>
      <c r="C44" s="18" t="s">
        <v>318</v>
      </c>
      <c r="D44" s="18" t="s">
        <v>1086</v>
      </c>
      <c r="E44" s="411">
        <v>0</v>
      </c>
      <c r="F44" s="412">
        <v>1</v>
      </c>
      <c r="G44" s="411">
        <v>0</v>
      </c>
      <c r="H44" s="406">
        <f t="shared" ref="H44" si="137">1-F44</f>
        <v>0</v>
      </c>
      <c r="I44" s="415" t="str">
        <f ca="1">IF(AND(O44=1,OR(E44="",E44&lt;0,E44&gt;W44,AND(H44&gt;0,OR(G44="",G44&lt;0,G44&gt;W44)),F44&gt;1,F44&lt;0)),_general!$A$83,"")</f>
        <v/>
      </c>
      <c r="J44" s="18" t="s">
        <v>1087</v>
      </c>
      <c r="K44" s="110" t="s">
        <v>1088</v>
      </c>
      <c r="L44" s="110" t="s">
        <v>1089</v>
      </c>
      <c r="M44" s="110" t="s">
        <v>1090</v>
      </c>
      <c r="N44" s="110" t="s">
        <v>1091</v>
      </c>
      <c r="O44" s="48">
        <f ca="1">IF(INDIRECT(ADDRESS(VLOOKUP(INDIRECT(ADDRESS(ROW(),25)),_general!$A$85:$B$92,2,),7,,,"Building Information"))="yes",1,0)</f>
        <v>1</v>
      </c>
      <c r="P44" s="111"/>
      <c r="Q44" s="111"/>
      <c r="R44" s="142" t="s">
        <v>863</v>
      </c>
      <c r="S44" s="142">
        <f>IF(OR('Building Information'!$G$49="yes",AND('Building Information'!$G$49="no",'Building Information'!$I$49=_general!$J$3)),1,0)</f>
        <v>1</v>
      </c>
      <c r="T44" s="142">
        <f ca="1">IF(OR(O44=1,AND(S44=1,R44="always")),1,0)</f>
        <v>1</v>
      </c>
      <c r="U44" s="323">
        <f t="shared" ref="U44" ca="1" si="138">IF(O44=1,E44,0)</f>
        <v>0</v>
      </c>
      <c r="V44" s="323">
        <f t="shared" ref="V44" ca="1" si="139">IF(O44=1,G44,0)</f>
        <v>0</v>
      </c>
      <c r="W44" s="323">
        <f t="shared" ref="W44" si="140">ISTEXT(J44)+ISTEXT(K44)+ISTEXT(L44)+ISTEXT(M44)+ISTEXT(N44)-1</f>
        <v>4</v>
      </c>
      <c r="X44" s="323">
        <f t="shared" ref="X44" ca="1" si="141">IF(T44=1,W44,0)</f>
        <v>4</v>
      </c>
      <c r="Y44" s="323" t="str">
        <f>VLOOKUP($B44,overview_of_services!$B$2:$T$123,$Y$2,FALSE)</f>
        <v>DE</v>
      </c>
      <c r="Z44" s="323">
        <f t="shared" ref="Z44" ca="1" si="142">VLOOKUP(B44,INDIRECT("'"&amp;Y44&amp;"'!"&amp;"C1:Z400"),$Z$2,0)+U44+$Z$4</f>
        <v>50</v>
      </c>
      <c r="AA44" s="323">
        <f ca="1">IF($O44=1,INDIRECT(ADDRESS($Z44,AA$2,1,,$Y44)),0)</f>
        <v>0</v>
      </c>
      <c r="AB44" s="323">
        <f t="shared" ca="1" si="115"/>
        <v>0</v>
      </c>
      <c r="AC44" s="323">
        <f t="shared" ca="1" si="115"/>
        <v>0</v>
      </c>
      <c r="AD44" s="323">
        <f t="shared" ca="1" si="115"/>
        <v>0</v>
      </c>
      <c r="AE44" s="323">
        <f t="shared" ca="1" si="115"/>
        <v>0</v>
      </c>
      <c r="AF44" s="323">
        <f t="shared" ca="1" si="115"/>
        <v>0</v>
      </c>
      <c r="AG44" s="323">
        <f t="shared" ca="1" si="115"/>
        <v>0</v>
      </c>
      <c r="AH44" s="323">
        <f t="shared" ref="AH44" ca="1" si="143">VLOOKUP(B44,INDIRECT("'"&amp;Y44&amp;"'!"&amp;"C1:Z400"),$Z$2,0)+V44+$Z$4</f>
        <v>50</v>
      </c>
      <c r="AI44" s="323">
        <f t="shared" ca="1" si="135"/>
        <v>0</v>
      </c>
      <c r="AJ44" s="323">
        <f t="shared" ca="1" si="135"/>
        <v>0</v>
      </c>
      <c r="AK44" s="323">
        <f t="shared" ca="1" si="135"/>
        <v>0</v>
      </c>
      <c r="AL44" s="323">
        <f t="shared" ca="1" si="135"/>
        <v>0</v>
      </c>
      <c r="AM44" s="323">
        <f t="shared" ca="1" si="135"/>
        <v>0</v>
      </c>
      <c r="AN44" s="323">
        <f t="shared" ca="1" si="135"/>
        <v>0</v>
      </c>
      <c r="AO44" s="323">
        <f t="shared" ca="1" si="135"/>
        <v>0</v>
      </c>
      <c r="AP44" s="324"/>
      <c r="AQ44" s="324" t="s">
        <v>973</v>
      </c>
      <c r="AR44" s="325">
        <f>VLOOKUP(Y44,_general!$A$65:$B$73,2,FALSE)+$AR$4</f>
        <v>60</v>
      </c>
      <c r="AS44" s="326">
        <f t="shared" ca="1" si="136"/>
        <v>0.05</v>
      </c>
      <c r="AT44" s="326">
        <f t="shared" ca="1" si="136"/>
        <v>0.05</v>
      </c>
      <c r="AU44" s="326">
        <f t="shared" ca="1" si="136"/>
        <v>0.13333333333333333</v>
      </c>
      <c r="AV44" s="326">
        <f t="shared" ca="1" si="136"/>
        <v>0.1</v>
      </c>
      <c r="AW44" s="326">
        <f t="shared" ca="1" si="136"/>
        <v>0.4</v>
      </c>
      <c r="AX44" s="326">
        <f t="shared" ca="1" si="136"/>
        <v>0.05</v>
      </c>
      <c r="AY44" s="326">
        <f t="shared" ca="1" si="136"/>
        <v>0.1142857142857143</v>
      </c>
      <c r="AZ44" s="429"/>
      <c r="BA44" s="427">
        <f t="shared" ref="BA44" ca="1" si="144">AA44*AS44</f>
        <v>0</v>
      </c>
      <c r="BB44" s="427">
        <f t="shared" ref="BB44" ca="1" si="145">AB44*AT44</f>
        <v>0</v>
      </c>
      <c r="BC44" s="427">
        <f t="shared" ref="BC44" ca="1" si="146">AC44*AU44</f>
        <v>0</v>
      </c>
      <c r="BD44" s="427">
        <f t="shared" ref="BD44" ca="1" si="147">AD44*AV44</f>
        <v>0</v>
      </c>
      <c r="BE44" s="427">
        <f t="shared" ref="BE44" ca="1" si="148">AE44*AW44</f>
        <v>0</v>
      </c>
      <c r="BF44" s="427">
        <f t="shared" ref="BF44" ca="1" si="149">AF44*AX44</f>
        <v>0</v>
      </c>
      <c r="BG44" s="427">
        <f t="shared" ref="BG44" ca="1" si="150">AG44*AY44</f>
        <v>0</v>
      </c>
      <c r="BH44" s="434"/>
      <c r="BI44" s="427">
        <f t="shared" ref="BI44" si="151">IF($H44&gt;0,AI44*AS44,0)</f>
        <v>0</v>
      </c>
      <c r="BJ44" s="427">
        <f t="shared" ref="BJ44" si="152">IF($H44&gt;0,AJ44*AT44,0)</f>
        <v>0</v>
      </c>
      <c r="BK44" s="427">
        <f t="shared" ref="BK44" si="153">IF($H44&gt;0,AK44*AU44,0)</f>
        <v>0</v>
      </c>
      <c r="BL44" s="427">
        <f t="shared" ref="BL44" si="154">IF($H44&gt;0,AL44*AV44,0)</f>
        <v>0</v>
      </c>
      <c r="BM44" s="427">
        <f t="shared" ref="BM44" si="155">IF($H44&gt;0,AM44*AW44,0)</f>
        <v>0</v>
      </c>
      <c r="BN44" s="427">
        <f t="shared" ref="BN44" si="156">IF($H44&gt;0,AN44*AX44,0)</f>
        <v>0</v>
      </c>
      <c r="BO44" s="427">
        <f t="shared" ref="BO44" si="157">IF($H44&gt;0,AO44*AY44,0)</f>
        <v>0</v>
      </c>
      <c r="BP44" s="428">
        <f t="shared" si="72"/>
        <v>67</v>
      </c>
      <c r="BQ44" s="327">
        <f t="shared" ref="BQ44" ca="1" si="158">INDIRECT(ADDRESS($BP44,BQ$2,1,,"Weightings"))*(BA44*$F44+BI44*$H44)</f>
        <v>0</v>
      </c>
      <c r="BR44" s="327">
        <f t="shared" ref="BR44" ca="1" si="159">INDIRECT(ADDRESS($BP44,BR$2,1,,"Weightings"))*(BB44*$F44+BJ44*$H44)</f>
        <v>0</v>
      </c>
      <c r="BS44" s="327">
        <f t="shared" ref="BS44" ca="1" si="160">INDIRECT(ADDRESS($BP44,BS$2,1,,"Weightings"))*(BC44*$F44+BK44*$H44)</f>
        <v>0</v>
      </c>
      <c r="BT44" s="327">
        <f t="shared" ref="BT44" ca="1" si="161">INDIRECT(ADDRESS($BP44,BT$2,1,,"Weightings"))*(BD44*$F44+BL44*$H44)</f>
        <v>0</v>
      </c>
      <c r="BU44" s="327">
        <f t="shared" ref="BU44" ca="1" si="162">INDIRECT(ADDRESS($BP44,BU$2,1,,"Weightings"))*(BE44*$F44+BM44*$H44)</f>
        <v>0</v>
      </c>
      <c r="BV44" s="327">
        <f t="shared" ref="BV44" ca="1" si="163">INDIRECT(ADDRESS($BP44,BV$2,1,,"Weightings"))*(BF44*$F44+BN44*$H44)</f>
        <v>0</v>
      </c>
      <c r="BW44" s="327">
        <f t="shared" ref="BW44" ca="1" si="164">INDIRECT(ADDRESS($BP44,BW$2,1,,"Weightings"))*(BG44*$F44+BO44*$H44)</f>
        <v>0</v>
      </c>
      <c r="BY44" s="323" t="str">
        <f t="shared" ref="BY44" si="165">Y44</f>
        <v>DE</v>
      </c>
      <c r="BZ44" s="323">
        <f t="shared" ref="BZ44" ca="1" si="166">VLOOKUP(B44,INDIRECT("'"&amp;Y44&amp;"'!"&amp;"C1:Z500"),$Z$2,0)+X44+$Z$4</f>
        <v>54</v>
      </c>
      <c r="CA44" s="323">
        <f t="shared" ref="CA44" ca="1" si="167">IF($O44=1,INDIRECT(ADDRESS($BZ44,AI$2,1,,$BY44)),0)</f>
        <v>1</v>
      </c>
      <c r="CB44" s="323">
        <f t="shared" ref="CB44" ca="1" si="168">IF($O44=1,INDIRECT(ADDRESS($BZ44,AJ$2,1,,$BY44)),0)</f>
        <v>0</v>
      </c>
      <c r="CC44" s="323">
        <f t="shared" ref="CC44" ca="1" si="169">IF($O44=1,INDIRECT(ADDRESS($BZ44,AK$2,1,,$BY44)),0)</f>
        <v>0</v>
      </c>
      <c r="CD44" s="323">
        <f t="shared" ref="CD44" ca="1" si="170">IF($O44=1,INDIRECT(ADDRESS($BZ44,AL$2,1,,$BY44)),0)</f>
        <v>1</v>
      </c>
      <c r="CE44" s="323">
        <f t="shared" ref="CE44" ca="1" si="171">IF($O44=1,INDIRECT(ADDRESS($BZ44,AM$2,1,,$BY44)),0)</f>
        <v>0</v>
      </c>
      <c r="CF44" s="323">
        <f t="shared" ref="CF44" ca="1" si="172">IF($O44=1,INDIRECT(ADDRESS($BZ44,AN$2,1,,$BY44)),0)</f>
        <v>2</v>
      </c>
      <c r="CG44" s="323">
        <f t="shared" ref="CG44" ca="1" si="173">IF($O44=1,INDIRECT(ADDRESS($BZ44,AO$2,1,,$BY44)),0)</f>
        <v>3</v>
      </c>
      <c r="CI44" s="327">
        <f t="shared" ref="CI44" ca="1" si="174">AS44*CA44</f>
        <v>0.05</v>
      </c>
      <c r="CJ44" s="327">
        <f t="shared" ref="CJ44" ca="1" si="175">AT44*CB44</f>
        <v>0</v>
      </c>
      <c r="CK44" s="327">
        <f t="shared" ref="CK44" ca="1" si="176">AU44*CC44</f>
        <v>0</v>
      </c>
      <c r="CL44" s="327">
        <f t="shared" ref="CL44" ca="1" si="177">AV44*CD44</f>
        <v>0.1</v>
      </c>
      <c r="CM44" s="327">
        <f t="shared" ref="CM44" ca="1" si="178">AW44*CE44</f>
        <v>0</v>
      </c>
      <c r="CN44" s="327">
        <f t="shared" ref="CN44" ca="1" si="179">AX44*CF44</f>
        <v>0.1</v>
      </c>
      <c r="CO44" s="327">
        <f t="shared" ref="CO44" ca="1" si="180">AY44*CG44</f>
        <v>0.34285714285714286</v>
      </c>
      <c r="CP44" s="328">
        <f t="shared" ref="CP44" si="181">BP44</f>
        <v>67</v>
      </c>
      <c r="CQ44" s="327">
        <f t="shared" ref="CQ44" ca="1" si="182">INDIRECT(ADDRESS($CP44,CQ$2,1,,"Weightings"))*CI44</f>
        <v>8.3333333333333332E-3</v>
      </c>
      <c r="CR44" s="327">
        <f t="shared" ref="CR44" ca="1" si="183">INDIRECT(ADDRESS($BP44,CR$2,1,,"Weightings"))*CJ44</f>
        <v>0</v>
      </c>
      <c r="CS44" s="327">
        <f t="shared" ref="CS44" ca="1" si="184">INDIRECT(ADDRESS($BP44,CS$2,1,,"Weightings"))*CK44</f>
        <v>0</v>
      </c>
      <c r="CT44" s="327">
        <f t="shared" ref="CT44" ca="1" si="185">INDIRECT(ADDRESS($BP44,CT$2,1,,"Weightings"))*CL44</f>
        <v>8.3333333333333332E-3</v>
      </c>
      <c r="CU44" s="327">
        <f t="shared" ref="CU44" ca="1" si="186">INDIRECT(ADDRESS($BP44,CU$2,1,,"Weightings"))*CM44</f>
        <v>0</v>
      </c>
      <c r="CV44" s="327">
        <f t="shared" ref="CV44" ca="1" si="187">INDIRECT(ADDRESS($BP44,CV$2,1,,"Weightings"))*CN44</f>
        <v>1.6666666666666666E-2</v>
      </c>
      <c r="CW44" s="327">
        <f t="shared" ref="CW44" ca="1" si="188">INDIRECT(ADDRESS($BP44,CW$2,1,,"Weightings"))*CO44</f>
        <v>2.8571428571428571E-2</v>
      </c>
      <c r="CY44" s="332"/>
      <c r="CZ44" s="332"/>
      <c r="DA44" s="332"/>
      <c r="DB44" s="332"/>
      <c r="DC44" s="332"/>
      <c r="DD44" s="332"/>
      <c r="DE44" s="332"/>
      <c r="DF44" s="417"/>
      <c r="DG44" s="417"/>
    </row>
    <row r="45" spans="1:111" s="333" customFormat="1" ht="58" x14ac:dyDescent="0.35">
      <c r="A45" s="304"/>
      <c r="B45" s="19" t="s">
        <v>351</v>
      </c>
      <c r="C45" s="19" t="s">
        <v>290</v>
      </c>
      <c r="D45" s="19" t="s">
        <v>352</v>
      </c>
      <c r="E45" s="411">
        <v>2</v>
      </c>
      <c r="F45" s="412">
        <v>1</v>
      </c>
      <c r="G45" s="411">
        <v>0</v>
      </c>
      <c r="H45" s="406">
        <f t="shared" si="88"/>
        <v>0</v>
      </c>
      <c r="I45" s="415" t="str">
        <f ca="1">IF(AND(O45=1,OR(E45="",E45&lt;0,E45&gt;W45,AND(H45&gt;0,OR(G45="",G45&lt;0,G45&gt;W45)),F45&gt;1,F45&lt;0)),_general!$A$83,"")</f>
        <v/>
      </c>
      <c r="J45" s="110" t="s">
        <v>81</v>
      </c>
      <c r="K45" s="110" t="s">
        <v>353</v>
      </c>
      <c r="L45" s="110" t="s">
        <v>128</v>
      </c>
      <c r="M45" s="110" t="s">
        <v>129</v>
      </c>
      <c r="N45" s="110" t="s">
        <v>130</v>
      </c>
      <c r="O45" s="48">
        <f ca="1">IF(AND(INDIRECT(ADDRESS(VLOOKUP(INDIRECT(ADDRESS(ROW(),25)),_general!$A$85:$B$92,2,),7,,,"Building Information"))="yes",'Building Information'!$G$98=_general!$I$68),1,0)</f>
        <v>1</v>
      </c>
      <c r="P45" s="111"/>
      <c r="Q45" s="111"/>
      <c r="R45" s="142" t="s">
        <v>978</v>
      </c>
      <c r="S45" s="142">
        <f>IF(OR('Building Information'!$G$50="yes",AND('Building Information'!$G$50="no",'Building Information'!$I$50=_general!$J$3)),1,0)</f>
        <v>1</v>
      </c>
      <c r="T45" s="142">
        <f t="shared" ca="1" si="116"/>
        <v>1</v>
      </c>
      <c r="U45" s="323">
        <f t="shared" ca="1" si="117"/>
        <v>2</v>
      </c>
      <c r="V45" s="323">
        <f t="shared" ca="1" si="54"/>
        <v>0</v>
      </c>
      <c r="W45" s="323">
        <f t="shared" si="118"/>
        <v>4</v>
      </c>
      <c r="X45" s="323">
        <f t="shared" ca="1" si="55"/>
        <v>4</v>
      </c>
      <c r="Y45" s="323" t="str">
        <f>VLOOKUP($B45,overview_of_services!$B$2:$T$123,$Y$2,FALSE)</f>
        <v>electricity</v>
      </c>
      <c r="Z45" s="323">
        <f t="shared" ca="1" si="119"/>
        <v>24</v>
      </c>
      <c r="AA45" s="323">
        <f t="shared" ref="AA45:AG59" ca="1" si="189">IF($O45=1,INDIRECT(ADDRESS($Z45,AA$2,1,,$Y45)),0)</f>
        <v>1</v>
      </c>
      <c r="AB45" s="323">
        <f t="shared" ca="1" si="189"/>
        <v>0</v>
      </c>
      <c r="AC45" s="323">
        <f t="shared" ca="1" si="189"/>
        <v>0</v>
      </c>
      <c r="AD45" s="323">
        <f t="shared" ca="1" si="189"/>
        <v>0</v>
      </c>
      <c r="AE45" s="323">
        <f t="shared" ca="1" si="189"/>
        <v>0</v>
      </c>
      <c r="AF45" s="323">
        <f t="shared" ca="1" si="189"/>
        <v>1</v>
      </c>
      <c r="AG45" s="323">
        <f t="shared" ca="1" si="189"/>
        <v>2</v>
      </c>
      <c r="AH45" s="323">
        <f t="shared" ca="1" si="57"/>
        <v>22</v>
      </c>
      <c r="AI45" s="323">
        <f t="shared" ca="1" si="135"/>
        <v>0</v>
      </c>
      <c r="AJ45" s="323">
        <f t="shared" ca="1" si="135"/>
        <v>0</v>
      </c>
      <c r="AK45" s="323">
        <f t="shared" ca="1" si="135"/>
        <v>0</v>
      </c>
      <c r="AL45" s="323">
        <f t="shared" ca="1" si="135"/>
        <v>0</v>
      </c>
      <c r="AM45" s="323">
        <f t="shared" ca="1" si="135"/>
        <v>0</v>
      </c>
      <c r="AN45" s="323">
        <f t="shared" ca="1" si="135"/>
        <v>0</v>
      </c>
      <c r="AO45" s="323">
        <f t="shared" ca="1" si="135"/>
        <v>0</v>
      </c>
      <c r="AP45" s="324"/>
      <c r="AQ45" s="324" t="s">
        <v>973</v>
      </c>
      <c r="AR45" s="325">
        <f>VLOOKUP(Y45,_general!$A$65:$B$73,2,FALSE)+$AR$4</f>
        <v>59</v>
      </c>
      <c r="AS45" s="326">
        <f t="shared" ca="1" si="136"/>
        <v>1.6177575725207723E-2</v>
      </c>
      <c r="AT45" s="326">
        <f t="shared" ca="1" si="136"/>
        <v>1.5099070676860539E-2</v>
      </c>
      <c r="AU45" s="326">
        <f t="shared" ca="1" si="136"/>
        <v>0</v>
      </c>
      <c r="AV45" s="326">
        <f t="shared" ca="1" si="136"/>
        <v>0.1</v>
      </c>
      <c r="AW45" s="326">
        <f t="shared" ca="1" si="136"/>
        <v>0</v>
      </c>
      <c r="AX45" s="326">
        <f t="shared" ca="1" si="136"/>
        <v>1.6177575725207723E-2</v>
      </c>
      <c r="AY45" s="326">
        <f t="shared" ca="1" si="136"/>
        <v>0.1142857142857143</v>
      </c>
      <c r="AZ45" s="429"/>
      <c r="BA45" s="427">
        <f t="shared" ca="1" si="89"/>
        <v>1.6177575725207723E-2</v>
      </c>
      <c r="BB45" s="427">
        <f t="shared" ca="1" si="92"/>
        <v>0</v>
      </c>
      <c r="BC45" s="427">
        <f t="shared" ca="1" si="93"/>
        <v>0</v>
      </c>
      <c r="BD45" s="427">
        <f t="shared" ca="1" si="94"/>
        <v>0</v>
      </c>
      <c r="BE45" s="427">
        <f t="shared" ca="1" si="95"/>
        <v>0</v>
      </c>
      <c r="BF45" s="427">
        <f t="shared" ca="1" si="96"/>
        <v>1.6177575725207723E-2</v>
      </c>
      <c r="BG45" s="427">
        <f t="shared" ca="1" si="97"/>
        <v>0.22857142857142859</v>
      </c>
      <c r="BH45" s="434"/>
      <c r="BI45" s="427">
        <f t="shared" si="90"/>
        <v>0</v>
      </c>
      <c r="BJ45" s="427">
        <f t="shared" si="98"/>
        <v>0</v>
      </c>
      <c r="BK45" s="427">
        <f t="shared" si="99"/>
        <v>0</v>
      </c>
      <c r="BL45" s="427">
        <f t="shared" si="100"/>
        <v>0</v>
      </c>
      <c r="BM45" s="427">
        <f t="shared" si="101"/>
        <v>0</v>
      </c>
      <c r="BN45" s="427">
        <f t="shared" si="102"/>
        <v>0</v>
      </c>
      <c r="BO45" s="427">
        <f t="shared" si="103"/>
        <v>0</v>
      </c>
      <c r="BP45" s="428">
        <f t="shared" si="72"/>
        <v>67</v>
      </c>
      <c r="BQ45" s="327">
        <f t="shared" ca="1" si="91"/>
        <v>2.6962626208679539E-3</v>
      </c>
      <c r="BR45" s="327">
        <f t="shared" ca="1" si="73"/>
        <v>0</v>
      </c>
      <c r="BS45" s="327">
        <f t="shared" ca="1" si="74"/>
        <v>0</v>
      </c>
      <c r="BT45" s="327">
        <f t="shared" ca="1" si="75"/>
        <v>0</v>
      </c>
      <c r="BU45" s="327">
        <f t="shared" ca="1" si="76"/>
        <v>0</v>
      </c>
      <c r="BV45" s="327">
        <f t="shared" ca="1" si="77"/>
        <v>2.6962626208679539E-3</v>
      </c>
      <c r="BW45" s="327">
        <f t="shared" ca="1" si="78"/>
        <v>1.9047619047619049E-2</v>
      </c>
      <c r="BY45" s="323" t="str">
        <f t="shared" si="79"/>
        <v>electricity</v>
      </c>
      <c r="BZ45" s="323">
        <f t="shared" ca="1" si="120"/>
        <v>26</v>
      </c>
      <c r="CA45" s="323">
        <f t="shared" ca="1" si="121"/>
        <v>1</v>
      </c>
      <c r="CB45" s="323">
        <f t="shared" ca="1" si="122"/>
        <v>0</v>
      </c>
      <c r="CC45" s="323">
        <f t="shared" ca="1" si="123"/>
        <v>0</v>
      </c>
      <c r="CD45" s="323">
        <f t="shared" ca="1" si="124"/>
        <v>1</v>
      </c>
      <c r="CE45" s="323">
        <f t="shared" ca="1" si="125"/>
        <v>0</v>
      </c>
      <c r="CF45" s="323">
        <f t="shared" ca="1" si="126"/>
        <v>2</v>
      </c>
      <c r="CG45" s="323">
        <f t="shared" ca="1" si="127"/>
        <v>3</v>
      </c>
      <c r="CI45" s="327">
        <f t="shared" ca="1" si="80"/>
        <v>1.6177575725207723E-2</v>
      </c>
      <c r="CJ45" s="327">
        <f t="shared" ca="1" si="81"/>
        <v>0</v>
      </c>
      <c r="CK45" s="327">
        <f t="shared" ca="1" si="82"/>
        <v>0</v>
      </c>
      <c r="CL45" s="327">
        <f t="shared" ca="1" si="83"/>
        <v>0.1</v>
      </c>
      <c r="CM45" s="327">
        <f t="shared" ca="1" si="84"/>
        <v>0</v>
      </c>
      <c r="CN45" s="327">
        <f t="shared" ca="1" si="85"/>
        <v>3.2355151450415447E-2</v>
      </c>
      <c r="CO45" s="327">
        <f t="shared" ca="1" si="86"/>
        <v>0.34285714285714286</v>
      </c>
      <c r="CP45" s="328">
        <f t="shared" si="87"/>
        <v>67</v>
      </c>
      <c r="CQ45" s="327">
        <f ca="1">INDIRECT(ADDRESS($CP45,CQ$2,1,,"Weightings"))*CI45</f>
        <v>2.6962626208679539E-3</v>
      </c>
      <c r="CR45" s="327">
        <f t="shared" ca="1" si="129"/>
        <v>0</v>
      </c>
      <c r="CS45" s="327">
        <f t="shared" ca="1" si="130"/>
        <v>0</v>
      </c>
      <c r="CT45" s="327">
        <f t="shared" ca="1" si="131"/>
        <v>8.3333333333333332E-3</v>
      </c>
      <c r="CU45" s="327">
        <f t="shared" ca="1" si="132"/>
        <v>0</v>
      </c>
      <c r="CV45" s="327">
        <f t="shared" ca="1" si="133"/>
        <v>5.3925252417359078E-3</v>
      </c>
      <c r="CW45" s="327">
        <f t="shared" ca="1" si="134"/>
        <v>2.8571428571428571E-2</v>
      </c>
      <c r="CY45" s="334"/>
      <c r="CZ45" s="334"/>
      <c r="DA45" s="334"/>
      <c r="DB45" s="334"/>
      <c r="DC45" s="334"/>
      <c r="DD45" s="334"/>
      <c r="DE45" s="334"/>
      <c r="DF45" s="418"/>
      <c r="DG45" s="418"/>
    </row>
    <row r="46" spans="1:111" s="333" customFormat="1" ht="29" x14ac:dyDescent="0.35">
      <c r="A46" s="304"/>
      <c r="B46" s="19" t="s">
        <v>355</v>
      </c>
      <c r="C46" s="19" t="s">
        <v>356</v>
      </c>
      <c r="D46" s="19" t="s">
        <v>357</v>
      </c>
      <c r="E46" s="411">
        <v>0</v>
      </c>
      <c r="F46" s="412">
        <v>1</v>
      </c>
      <c r="G46" s="411">
        <v>0</v>
      </c>
      <c r="H46" s="406">
        <f t="shared" si="88"/>
        <v>0</v>
      </c>
      <c r="I46" s="415" t="str">
        <f ca="1">IF(AND(O46=1,OR(E46="",E46&lt;0,E46&gt;W46,AND(H46&gt;0,OR(G46="",G46&lt;0,G46&gt;W46)),F46&gt;1,F46&lt;0)),_general!$A$83,"")</f>
        <v/>
      </c>
      <c r="J46" s="110" t="s">
        <v>81</v>
      </c>
      <c r="K46" s="110" t="s">
        <v>358</v>
      </c>
      <c r="L46" s="110" t="s">
        <v>359</v>
      </c>
      <c r="M46" s="110" t="s">
        <v>360</v>
      </c>
      <c r="N46" s="110"/>
      <c r="O46" s="48">
        <f ca="1">IF(AND(INDIRECT(ADDRESS(VLOOKUP(INDIRECT(ADDRESS(ROW(),25)),_general!$A$85:$B$92,2,),7,,,"Building Information"))="yes",'Building Information'!$G$98=_general!$I$68),1,0)</f>
        <v>1</v>
      </c>
      <c r="P46" s="111"/>
      <c r="Q46" s="111"/>
      <c r="R46" s="142" t="s">
        <v>978</v>
      </c>
      <c r="S46" s="142">
        <f>IF(OR('Building Information'!$G$50="yes",AND('Building Information'!$G$50="no",'Building Information'!$I$50=_general!$J$3)),1,0)</f>
        <v>1</v>
      </c>
      <c r="T46" s="142">
        <f t="shared" ca="1" si="116"/>
        <v>1</v>
      </c>
      <c r="U46" s="323">
        <f t="shared" ca="1" si="117"/>
        <v>0</v>
      </c>
      <c r="V46" s="323">
        <f t="shared" ca="1" si="54"/>
        <v>0</v>
      </c>
      <c r="W46" s="323">
        <f t="shared" si="118"/>
        <v>3</v>
      </c>
      <c r="X46" s="323">
        <f t="shared" ca="1" si="55"/>
        <v>3</v>
      </c>
      <c r="Y46" s="323" t="str">
        <f>VLOOKUP($B46,overview_of_services!$B$2:$T$123,$Y$2,FALSE)</f>
        <v>electricity</v>
      </c>
      <c r="Z46" s="323">
        <f t="shared" ca="1" si="119"/>
        <v>36</v>
      </c>
      <c r="AA46" s="323">
        <f t="shared" ca="1" si="189"/>
        <v>0</v>
      </c>
      <c r="AB46" s="323">
        <f t="shared" ca="1" si="189"/>
        <v>0</v>
      </c>
      <c r="AC46" s="323">
        <f t="shared" ca="1" si="189"/>
        <v>0</v>
      </c>
      <c r="AD46" s="323">
        <f t="shared" ca="1" si="189"/>
        <v>0</v>
      </c>
      <c r="AE46" s="323">
        <f t="shared" ca="1" si="189"/>
        <v>0</v>
      </c>
      <c r="AF46" s="323">
        <f t="shared" ca="1" si="189"/>
        <v>0</v>
      </c>
      <c r="AG46" s="323">
        <f t="shared" ca="1" si="189"/>
        <v>0</v>
      </c>
      <c r="AH46" s="323">
        <f t="shared" ca="1" si="57"/>
        <v>36</v>
      </c>
      <c r="AI46" s="323">
        <f t="shared" ca="1" si="135"/>
        <v>0</v>
      </c>
      <c r="AJ46" s="323">
        <f t="shared" ca="1" si="135"/>
        <v>0</v>
      </c>
      <c r="AK46" s="323">
        <f t="shared" ca="1" si="135"/>
        <v>0</v>
      </c>
      <c r="AL46" s="323">
        <f t="shared" ca="1" si="135"/>
        <v>0</v>
      </c>
      <c r="AM46" s="323">
        <f t="shared" ca="1" si="135"/>
        <v>0</v>
      </c>
      <c r="AN46" s="323">
        <f t="shared" ca="1" si="135"/>
        <v>0</v>
      </c>
      <c r="AO46" s="323">
        <f t="shared" ca="1" si="135"/>
        <v>0</v>
      </c>
      <c r="AP46" s="324"/>
      <c r="AQ46" s="324" t="s">
        <v>973</v>
      </c>
      <c r="AR46" s="325">
        <f>VLOOKUP(Y46,_general!$A$65:$B$73,2,FALSE)+$AR$4</f>
        <v>59</v>
      </c>
      <c r="AS46" s="326">
        <f t="shared" ca="1" si="136"/>
        <v>1.6177575725207723E-2</v>
      </c>
      <c r="AT46" s="326">
        <f t="shared" ca="1" si="136"/>
        <v>1.5099070676860539E-2</v>
      </c>
      <c r="AU46" s="326">
        <f t="shared" ca="1" si="136"/>
        <v>0</v>
      </c>
      <c r="AV46" s="326">
        <f t="shared" ca="1" si="136"/>
        <v>0.1</v>
      </c>
      <c r="AW46" s="326">
        <f t="shared" ca="1" si="136"/>
        <v>0</v>
      </c>
      <c r="AX46" s="326">
        <f t="shared" ca="1" si="136"/>
        <v>1.6177575725207723E-2</v>
      </c>
      <c r="AY46" s="326">
        <f t="shared" ca="1" si="136"/>
        <v>0.1142857142857143</v>
      </c>
      <c r="AZ46" s="429"/>
      <c r="BA46" s="427">
        <f t="shared" ca="1" si="89"/>
        <v>0</v>
      </c>
      <c r="BB46" s="427">
        <f t="shared" ca="1" si="92"/>
        <v>0</v>
      </c>
      <c r="BC46" s="427">
        <f t="shared" ca="1" si="93"/>
        <v>0</v>
      </c>
      <c r="BD46" s="427">
        <f t="shared" ca="1" si="94"/>
        <v>0</v>
      </c>
      <c r="BE46" s="427">
        <f t="shared" ca="1" si="95"/>
        <v>0</v>
      </c>
      <c r="BF46" s="427">
        <f t="shared" ca="1" si="96"/>
        <v>0</v>
      </c>
      <c r="BG46" s="427">
        <f t="shared" ca="1" si="97"/>
        <v>0</v>
      </c>
      <c r="BH46" s="434"/>
      <c r="BI46" s="427">
        <f t="shared" si="90"/>
        <v>0</v>
      </c>
      <c r="BJ46" s="427">
        <f t="shared" si="98"/>
        <v>0</v>
      </c>
      <c r="BK46" s="427">
        <f t="shared" si="99"/>
        <v>0</v>
      </c>
      <c r="BL46" s="427">
        <f t="shared" si="100"/>
        <v>0</v>
      </c>
      <c r="BM46" s="427">
        <f t="shared" si="101"/>
        <v>0</v>
      </c>
      <c r="BN46" s="427">
        <f t="shared" si="102"/>
        <v>0</v>
      </c>
      <c r="BO46" s="427">
        <f t="shared" si="103"/>
        <v>0</v>
      </c>
      <c r="BP46" s="428">
        <f t="shared" si="72"/>
        <v>67</v>
      </c>
      <c r="BQ46" s="327">
        <f t="shared" ca="1" si="91"/>
        <v>0</v>
      </c>
      <c r="BR46" s="327">
        <f t="shared" ca="1" si="73"/>
        <v>0</v>
      </c>
      <c r="BS46" s="327">
        <f t="shared" ca="1" si="74"/>
        <v>0</v>
      </c>
      <c r="BT46" s="327">
        <f t="shared" ca="1" si="75"/>
        <v>0</v>
      </c>
      <c r="BU46" s="327">
        <f t="shared" ca="1" si="76"/>
        <v>0</v>
      </c>
      <c r="BV46" s="327">
        <f t="shared" ca="1" si="77"/>
        <v>0</v>
      </c>
      <c r="BW46" s="327">
        <f t="shared" ca="1" si="78"/>
        <v>0</v>
      </c>
      <c r="BY46" s="323" t="str">
        <f t="shared" si="79"/>
        <v>electricity</v>
      </c>
      <c r="BZ46" s="323">
        <f t="shared" ca="1" si="120"/>
        <v>39</v>
      </c>
      <c r="CA46" s="323">
        <f t="shared" ca="1" si="121"/>
        <v>0</v>
      </c>
      <c r="CB46" s="323">
        <f t="shared" ca="1" si="122"/>
        <v>3</v>
      </c>
      <c r="CC46" s="323">
        <f t="shared" ca="1" si="123"/>
        <v>0</v>
      </c>
      <c r="CD46" s="323">
        <f t="shared" ca="1" si="124"/>
        <v>2</v>
      </c>
      <c r="CE46" s="323">
        <f t="shared" ca="1" si="125"/>
        <v>0</v>
      </c>
      <c r="CF46" s="323">
        <f t="shared" ca="1" si="126"/>
        <v>0</v>
      </c>
      <c r="CG46" s="323">
        <f t="shared" ca="1" si="127"/>
        <v>0</v>
      </c>
      <c r="CI46" s="327">
        <f t="shared" ca="1" si="80"/>
        <v>0</v>
      </c>
      <c r="CJ46" s="327">
        <f t="shared" ca="1" si="81"/>
        <v>4.5297212030581617E-2</v>
      </c>
      <c r="CK46" s="327">
        <f t="shared" ca="1" si="82"/>
        <v>0</v>
      </c>
      <c r="CL46" s="327">
        <f t="shared" ca="1" si="83"/>
        <v>0.2</v>
      </c>
      <c r="CM46" s="327">
        <f t="shared" ca="1" si="84"/>
        <v>0</v>
      </c>
      <c r="CN46" s="327">
        <f t="shared" ca="1" si="85"/>
        <v>0</v>
      </c>
      <c r="CO46" s="327">
        <f t="shared" ca="1" si="86"/>
        <v>0</v>
      </c>
      <c r="CP46" s="328">
        <f t="shared" si="87"/>
        <v>67</v>
      </c>
      <c r="CQ46" s="327">
        <f t="shared" ca="1" si="128"/>
        <v>0</v>
      </c>
      <c r="CR46" s="327">
        <f t="shared" ca="1" si="129"/>
        <v>1.5099070676860539E-2</v>
      </c>
      <c r="CS46" s="327">
        <f t="shared" ca="1" si="130"/>
        <v>0</v>
      </c>
      <c r="CT46" s="327">
        <f t="shared" ca="1" si="131"/>
        <v>1.6666666666666666E-2</v>
      </c>
      <c r="CU46" s="327">
        <f t="shared" ca="1" si="132"/>
        <v>0</v>
      </c>
      <c r="CV46" s="327">
        <f t="shared" ca="1" si="133"/>
        <v>0</v>
      </c>
      <c r="CW46" s="327">
        <f t="shared" ca="1" si="134"/>
        <v>0</v>
      </c>
      <c r="CY46" s="334"/>
      <c r="CZ46" s="334"/>
      <c r="DA46" s="334"/>
      <c r="DB46" s="334"/>
      <c r="DC46" s="334"/>
      <c r="DD46" s="334"/>
      <c r="DE46" s="334"/>
      <c r="DF46" s="418"/>
      <c r="DG46" s="418"/>
    </row>
    <row r="47" spans="1:111" s="329" customFormat="1" ht="29" x14ac:dyDescent="0.35">
      <c r="A47" s="303"/>
      <c r="B47" s="19" t="s">
        <v>361</v>
      </c>
      <c r="C47" s="19" t="s">
        <v>362</v>
      </c>
      <c r="D47" s="19" t="s">
        <v>363</v>
      </c>
      <c r="E47" s="411">
        <v>0</v>
      </c>
      <c r="F47" s="412">
        <v>1</v>
      </c>
      <c r="G47" s="411">
        <v>0</v>
      </c>
      <c r="H47" s="406">
        <f t="shared" si="88"/>
        <v>0</v>
      </c>
      <c r="I47" s="415" t="str">
        <f ca="1">IF(AND(O47=1,OR(E47="",E47&lt;0,E47&gt;W47,AND(H47&gt;0,OR(G47="",G47&lt;0,G47&gt;W47)),F47&gt;1,F47&lt;0)),_general!$A$83,"")</f>
        <v/>
      </c>
      <c r="J47" s="110" t="s">
        <v>81</v>
      </c>
      <c r="K47" s="110" t="s">
        <v>364</v>
      </c>
      <c r="L47" s="110" t="s">
        <v>365</v>
      </c>
      <c r="M47" s="110"/>
      <c r="N47" s="110"/>
      <c r="O47" s="48">
        <f ca="1">IF(AND(INDIRECT(ADDRESS(VLOOKUP(INDIRECT(ADDRESS(ROW(),25)),_general!$A$85:$B$92,2,),7,,,"Building Information"))="yes",'Building Information'!$G$98=_general!$I$68),1,0)</f>
        <v>1</v>
      </c>
      <c r="P47" s="111"/>
      <c r="Q47" s="111"/>
      <c r="R47" s="142" t="s">
        <v>978</v>
      </c>
      <c r="S47" s="142">
        <f>IF(OR('Building Information'!$G$50="yes",AND('Building Information'!$G$50="no",'Building Information'!$I$50=_general!$J$3)),1,0)</f>
        <v>1</v>
      </c>
      <c r="T47" s="142">
        <f t="shared" ca="1" si="116"/>
        <v>1</v>
      </c>
      <c r="U47" s="323">
        <f t="shared" ca="1" si="117"/>
        <v>0</v>
      </c>
      <c r="V47" s="323">
        <f t="shared" ca="1" si="54"/>
        <v>0</v>
      </c>
      <c r="W47" s="323">
        <f t="shared" si="118"/>
        <v>2</v>
      </c>
      <c r="X47" s="323">
        <f t="shared" ca="1" si="55"/>
        <v>2</v>
      </c>
      <c r="Y47" s="323" t="str">
        <f>VLOOKUP($B47,overview_of_services!$B$2:$T$123,$Y$2,FALSE)</f>
        <v>electricity</v>
      </c>
      <c r="Z47" s="323">
        <f t="shared" ca="1" si="119"/>
        <v>50</v>
      </c>
      <c r="AA47" s="323">
        <f t="shared" ca="1" si="189"/>
        <v>0</v>
      </c>
      <c r="AB47" s="323">
        <f t="shared" ca="1" si="189"/>
        <v>0</v>
      </c>
      <c r="AC47" s="323">
        <f t="shared" ca="1" si="189"/>
        <v>0</v>
      </c>
      <c r="AD47" s="323">
        <f t="shared" ca="1" si="189"/>
        <v>0</v>
      </c>
      <c r="AE47" s="323">
        <f t="shared" ca="1" si="189"/>
        <v>0</v>
      </c>
      <c r="AF47" s="323">
        <f t="shared" ca="1" si="189"/>
        <v>0</v>
      </c>
      <c r="AG47" s="323">
        <f t="shared" ca="1" si="189"/>
        <v>0</v>
      </c>
      <c r="AH47" s="323">
        <f t="shared" ca="1" si="57"/>
        <v>50</v>
      </c>
      <c r="AI47" s="323">
        <f t="shared" ca="1" si="135"/>
        <v>0</v>
      </c>
      <c r="AJ47" s="323">
        <f t="shared" ca="1" si="135"/>
        <v>0</v>
      </c>
      <c r="AK47" s="323">
        <f t="shared" ca="1" si="135"/>
        <v>0</v>
      </c>
      <c r="AL47" s="323">
        <f t="shared" ca="1" si="135"/>
        <v>0</v>
      </c>
      <c r="AM47" s="323">
        <f t="shared" ca="1" si="135"/>
        <v>0</v>
      </c>
      <c r="AN47" s="323">
        <f t="shared" ca="1" si="135"/>
        <v>0</v>
      </c>
      <c r="AO47" s="323">
        <f t="shared" ca="1" si="135"/>
        <v>0</v>
      </c>
      <c r="AP47" s="324"/>
      <c r="AQ47" s="324" t="s">
        <v>973</v>
      </c>
      <c r="AR47" s="325">
        <f>VLOOKUP(Y47,_general!$A$65:$B$73,2,FALSE)+$AR$4</f>
        <v>59</v>
      </c>
      <c r="AS47" s="326">
        <f t="shared" ca="1" si="136"/>
        <v>1.6177575725207723E-2</v>
      </c>
      <c r="AT47" s="326">
        <f t="shared" ca="1" si="136"/>
        <v>1.5099070676860539E-2</v>
      </c>
      <c r="AU47" s="326">
        <f t="shared" ca="1" si="136"/>
        <v>0</v>
      </c>
      <c r="AV47" s="326">
        <f t="shared" ca="1" si="136"/>
        <v>0.1</v>
      </c>
      <c r="AW47" s="326">
        <f t="shared" ca="1" si="136"/>
        <v>0</v>
      </c>
      <c r="AX47" s="326">
        <f t="shared" ca="1" si="136"/>
        <v>1.6177575725207723E-2</v>
      </c>
      <c r="AY47" s="326">
        <f t="shared" ca="1" si="136"/>
        <v>0.1142857142857143</v>
      </c>
      <c r="AZ47" s="429"/>
      <c r="BA47" s="427">
        <f t="shared" ca="1" si="89"/>
        <v>0</v>
      </c>
      <c r="BB47" s="427">
        <f t="shared" ca="1" si="92"/>
        <v>0</v>
      </c>
      <c r="BC47" s="427">
        <f t="shared" ca="1" si="93"/>
        <v>0</v>
      </c>
      <c r="BD47" s="427">
        <f t="shared" ca="1" si="94"/>
        <v>0</v>
      </c>
      <c r="BE47" s="427">
        <f t="shared" ca="1" si="95"/>
        <v>0</v>
      </c>
      <c r="BF47" s="427">
        <f t="shared" ca="1" si="96"/>
        <v>0</v>
      </c>
      <c r="BG47" s="427">
        <f t="shared" ca="1" si="97"/>
        <v>0</v>
      </c>
      <c r="BH47" s="434"/>
      <c r="BI47" s="427">
        <f t="shared" si="90"/>
        <v>0</v>
      </c>
      <c r="BJ47" s="427">
        <f t="shared" si="98"/>
        <v>0</v>
      </c>
      <c r="BK47" s="427">
        <f t="shared" si="99"/>
        <v>0</v>
      </c>
      <c r="BL47" s="427">
        <f t="shared" si="100"/>
        <v>0</v>
      </c>
      <c r="BM47" s="427">
        <f t="shared" si="101"/>
        <v>0</v>
      </c>
      <c r="BN47" s="427">
        <f t="shared" si="102"/>
        <v>0</v>
      </c>
      <c r="BO47" s="427">
        <f t="shared" si="103"/>
        <v>0</v>
      </c>
      <c r="BP47" s="428">
        <f t="shared" si="72"/>
        <v>67</v>
      </c>
      <c r="BQ47" s="327">
        <f t="shared" ca="1" si="91"/>
        <v>0</v>
      </c>
      <c r="BR47" s="327">
        <f t="shared" ca="1" si="73"/>
        <v>0</v>
      </c>
      <c r="BS47" s="327">
        <f t="shared" ca="1" si="74"/>
        <v>0</v>
      </c>
      <c r="BT47" s="327">
        <f t="shared" ca="1" si="75"/>
        <v>0</v>
      </c>
      <c r="BU47" s="327">
        <f t="shared" ca="1" si="76"/>
        <v>0</v>
      </c>
      <c r="BV47" s="327">
        <f t="shared" ca="1" si="77"/>
        <v>0</v>
      </c>
      <c r="BW47" s="327">
        <f t="shared" ca="1" si="78"/>
        <v>0</v>
      </c>
      <c r="BY47" s="323" t="str">
        <f t="shared" si="79"/>
        <v>electricity</v>
      </c>
      <c r="BZ47" s="323">
        <f t="shared" ca="1" si="120"/>
        <v>52</v>
      </c>
      <c r="CA47" s="323">
        <f t="shared" ca="1" si="121"/>
        <v>0</v>
      </c>
      <c r="CB47" s="323">
        <f t="shared" ca="1" si="122"/>
        <v>3</v>
      </c>
      <c r="CC47" s="323">
        <f t="shared" ca="1" si="123"/>
        <v>0</v>
      </c>
      <c r="CD47" s="323">
        <f t="shared" ca="1" si="124"/>
        <v>0</v>
      </c>
      <c r="CE47" s="323">
        <f t="shared" ca="1" si="125"/>
        <v>0</v>
      </c>
      <c r="CF47" s="323">
        <f t="shared" ca="1" si="126"/>
        <v>2</v>
      </c>
      <c r="CG47" s="323">
        <f t="shared" ca="1" si="127"/>
        <v>0</v>
      </c>
      <c r="CI47" s="327">
        <f t="shared" ca="1" si="80"/>
        <v>0</v>
      </c>
      <c r="CJ47" s="327">
        <f t="shared" ca="1" si="81"/>
        <v>4.5297212030581617E-2</v>
      </c>
      <c r="CK47" s="327">
        <f t="shared" ca="1" si="82"/>
        <v>0</v>
      </c>
      <c r="CL47" s="327">
        <f t="shared" ca="1" si="83"/>
        <v>0</v>
      </c>
      <c r="CM47" s="327">
        <f t="shared" ca="1" si="84"/>
        <v>0</v>
      </c>
      <c r="CN47" s="327">
        <f t="shared" ca="1" si="85"/>
        <v>3.2355151450415447E-2</v>
      </c>
      <c r="CO47" s="327">
        <f t="shared" ca="1" si="86"/>
        <v>0</v>
      </c>
      <c r="CP47" s="328">
        <f t="shared" si="87"/>
        <v>67</v>
      </c>
      <c r="CQ47" s="327">
        <f t="shared" ca="1" si="128"/>
        <v>0</v>
      </c>
      <c r="CR47" s="327">
        <f t="shared" ca="1" si="129"/>
        <v>1.5099070676860539E-2</v>
      </c>
      <c r="CS47" s="327">
        <f t="shared" ca="1" si="130"/>
        <v>0</v>
      </c>
      <c r="CT47" s="327">
        <f t="shared" ca="1" si="131"/>
        <v>0</v>
      </c>
      <c r="CU47" s="327">
        <f t="shared" ca="1" si="132"/>
        <v>0</v>
      </c>
      <c r="CV47" s="327">
        <f t="shared" ca="1" si="133"/>
        <v>5.3925252417359078E-3</v>
      </c>
      <c r="CW47" s="327">
        <f t="shared" ca="1" si="134"/>
        <v>0</v>
      </c>
      <c r="CY47" s="332"/>
      <c r="CZ47" s="332"/>
      <c r="DA47" s="332"/>
      <c r="DB47" s="332"/>
      <c r="DC47" s="332"/>
      <c r="DD47" s="332"/>
      <c r="DE47" s="332"/>
      <c r="DF47" s="417"/>
      <c r="DG47" s="417"/>
    </row>
    <row r="48" spans="1:111" s="329" customFormat="1" ht="72.5" x14ac:dyDescent="0.35">
      <c r="A48" s="299"/>
      <c r="B48" s="19" t="s">
        <v>366</v>
      </c>
      <c r="C48" s="19" t="s">
        <v>347</v>
      </c>
      <c r="D48" s="19" t="s">
        <v>367</v>
      </c>
      <c r="E48" s="411"/>
      <c r="F48" s="412">
        <v>1</v>
      </c>
      <c r="G48" s="411">
        <v>0</v>
      </c>
      <c r="H48" s="406">
        <f t="shared" si="88"/>
        <v>0</v>
      </c>
      <c r="I48" s="415" t="str">
        <f ca="1">IF(AND(O48=1,OR(E48="",E48&lt;0,E48&gt;W48,AND(H48&gt;0,OR(G48="",G48&lt;0,G48&gt;W48)),F48&gt;1,F48&lt;0)),_general!$A$83,"")</f>
        <v/>
      </c>
      <c r="J48" s="110" t="s">
        <v>368</v>
      </c>
      <c r="K48" s="110" t="s">
        <v>369</v>
      </c>
      <c r="L48" s="110"/>
      <c r="M48" s="110"/>
      <c r="N48" s="110"/>
      <c r="O48" s="48">
        <f ca="1">IF(AND(INDIRECT(ADDRESS(VLOOKUP(INDIRECT(ADDRESS(ROW(),25)),_general!$A$85:$B$92,2,),7,,,"Building Information"))="yes",'Building Information'!G100=_general!I74),1,0)</f>
        <v>0</v>
      </c>
      <c r="P48" s="111"/>
      <c r="Q48" s="111"/>
      <c r="R48" s="142" t="s">
        <v>863</v>
      </c>
      <c r="S48" s="142">
        <f>IF(OR('Building Information'!$G$50="yes",AND('Building Information'!$G$50="no",'Building Information'!$I$50=_general!$J$3)),1,0)</f>
        <v>1</v>
      </c>
      <c r="T48" s="142">
        <f t="shared" ca="1" si="116"/>
        <v>0</v>
      </c>
      <c r="U48" s="323">
        <f t="shared" ca="1" si="117"/>
        <v>0</v>
      </c>
      <c r="V48" s="323">
        <f t="shared" ca="1" si="54"/>
        <v>0</v>
      </c>
      <c r="W48" s="323">
        <f t="shared" si="118"/>
        <v>1</v>
      </c>
      <c r="X48" s="323">
        <f t="shared" ca="1" si="55"/>
        <v>0</v>
      </c>
      <c r="Y48" s="323" t="str">
        <f>VLOOKUP($B48,overview_of_services!$B$2:$T$123,$Y$2,FALSE)</f>
        <v>electricity</v>
      </c>
      <c r="Z48" s="323">
        <f t="shared" ca="1" si="119"/>
        <v>64</v>
      </c>
      <c r="AA48" s="323">
        <f t="shared" ca="1" si="189"/>
        <v>0</v>
      </c>
      <c r="AB48" s="323">
        <f t="shared" ca="1" si="189"/>
        <v>0</v>
      </c>
      <c r="AC48" s="323">
        <f t="shared" ca="1" si="189"/>
        <v>0</v>
      </c>
      <c r="AD48" s="323">
        <f t="shared" ca="1" si="189"/>
        <v>0</v>
      </c>
      <c r="AE48" s="323">
        <f t="shared" ca="1" si="189"/>
        <v>0</v>
      </c>
      <c r="AF48" s="323">
        <f t="shared" ca="1" si="189"/>
        <v>0</v>
      </c>
      <c r="AG48" s="323">
        <f t="shared" ca="1" si="189"/>
        <v>0</v>
      </c>
      <c r="AH48" s="323">
        <f t="shared" ca="1" si="57"/>
        <v>64</v>
      </c>
      <c r="AI48" s="323">
        <f t="shared" ca="1" si="135"/>
        <v>0</v>
      </c>
      <c r="AJ48" s="323">
        <f t="shared" ca="1" si="135"/>
        <v>0</v>
      </c>
      <c r="AK48" s="323">
        <f t="shared" ca="1" si="135"/>
        <v>0</v>
      </c>
      <c r="AL48" s="323">
        <f t="shared" ca="1" si="135"/>
        <v>0</v>
      </c>
      <c r="AM48" s="323">
        <f t="shared" ca="1" si="135"/>
        <v>0</v>
      </c>
      <c r="AN48" s="323">
        <f t="shared" ca="1" si="135"/>
        <v>0</v>
      </c>
      <c r="AO48" s="323">
        <f t="shared" ca="1" si="135"/>
        <v>0</v>
      </c>
      <c r="AP48" s="324"/>
      <c r="AQ48" s="324" t="s">
        <v>973</v>
      </c>
      <c r="AR48" s="325">
        <f>VLOOKUP(Y48,_general!$A$65:$B$73,2,FALSE)+$AR$4</f>
        <v>59</v>
      </c>
      <c r="AS48" s="326">
        <f t="shared" ca="1" si="136"/>
        <v>1.6177575725207723E-2</v>
      </c>
      <c r="AT48" s="326">
        <f t="shared" ca="1" si="136"/>
        <v>1.5099070676860539E-2</v>
      </c>
      <c r="AU48" s="326">
        <f t="shared" ca="1" si="136"/>
        <v>0</v>
      </c>
      <c r="AV48" s="326">
        <f t="shared" ca="1" si="136"/>
        <v>0.1</v>
      </c>
      <c r="AW48" s="326">
        <f t="shared" ca="1" si="136"/>
        <v>0</v>
      </c>
      <c r="AX48" s="326">
        <f t="shared" ca="1" si="136"/>
        <v>1.6177575725207723E-2</v>
      </c>
      <c r="AY48" s="326">
        <f t="shared" ca="1" si="136"/>
        <v>0.1142857142857143</v>
      </c>
      <c r="AZ48" s="429"/>
      <c r="BA48" s="427">
        <f t="shared" ca="1" si="89"/>
        <v>0</v>
      </c>
      <c r="BB48" s="427">
        <f t="shared" ca="1" si="92"/>
        <v>0</v>
      </c>
      <c r="BC48" s="427">
        <f t="shared" ca="1" si="93"/>
        <v>0</v>
      </c>
      <c r="BD48" s="427">
        <f t="shared" ca="1" si="94"/>
        <v>0</v>
      </c>
      <c r="BE48" s="427">
        <f t="shared" ca="1" si="95"/>
        <v>0</v>
      </c>
      <c r="BF48" s="427">
        <f t="shared" ca="1" si="96"/>
        <v>0</v>
      </c>
      <c r="BG48" s="427">
        <f t="shared" ca="1" si="97"/>
        <v>0</v>
      </c>
      <c r="BH48" s="434"/>
      <c r="BI48" s="427">
        <f t="shared" si="90"/>
        <v>0</v>
      </c>
      <c r="BJ48" s="427">
        <f t="shared" si="98"/>
        <v>0</v>
      </c>
      <c r="BK48" s="427">
        <f t="shared" si="99"/>
        <v>0</v>
      </c>
      <c r="BL48" s="427">
        <f t="shared" si="100"/>
        <v>0</v>
      </c>
      <c r="BM48" s="427">
        <f t="shared" si="101"/>
        <v>0</v>
      </c>
      <c r="BN48" s="427">
        <f t="shared" si="102"/>
        <v>0</v>
      </c>
      <c r="BO48" s="427">
        <f t="shared" si="103"/>
        <v>0</v>
      </c>
      <c r="BP48" s="428">
        <f t="shared" si="72"/>
        <v>67</v>
      </c>
      <c r="BQ48" s="327">
        <f t="shared" ca="1" si="91"/>
        <v>0</v>
      </c>
      <c r="BR48" s="327">
        <f t="shared" ca="1" si="73"/>
        <v>0</v>
      </c>
      <c r="BS48" s="327">
        <f t="shared" ca="1" si="74"/>
        <v>0</v>
      </c>
      <c r="BT48" s="327">
        <f t="shared" ca="1" si="75"/>
        <v>0</v>
      </c>
      <c r="BU48" s="327">
        <f t="shared" ca="1" si="76"/>
        <v>0</v>
      </c>
      <c r="BV48" s="327">
        <f t="shared" ca="1" si="77"/>
        <v>0</v>
      </c>
      <c r="BW48" s="327">
        <f t="shared" ca="1" si="78"/>
        <v>0</v>
      </c>
      <c r="BY48" s="323" t="str">
        <f t="shared" si="79"/>
        <v>electricity</v>
      </c>
      <c r="BZ48" s="323">
        <f t="shared" ca="1" si="120"/>
        <v>64</v>
      </c>
      <c r="CA48" s="323">
        <f t="shared" ca="1" si="121"/>
        <v>0</v>
      </c>
      <c r="CB48" s="323">
        <f t="shared" ca="1" si="122"/>
        <v>0</v>
      </c>
      <c r="CC48" s="323">
        <f t="shared" ca="1" si="123"/>
        <v>0</v>
      </c>
      <c r="CD48" s="323">
        <f t="shared" ca="1" si="124"/>
        <v>0</v>
      </c>
      <c r="CE48" s="323">
        <f t="shared" ca="1" si="125"/>
        <v>0</v>
      </c>
      <c r="CF48" s="323">
        <f t="shared" ca="1" si="126"/>
        <v>0</v>
      </c>
      <c r="CG48" s="323">
        <f t="shared" ca="1" si="127"/>
        <v>0</v>
      </c>
      <c r="CI48" s="327">
        <f t="shared" ca="1" si="80"/>
        <v>0</v>
      </c>
      <c r="CJ48" s="327">
        <f t="shared" ca="1" si="81"/>
        <v>0</v>
      </c>
      <c r="CK48" s="327">
        <f t="shared" ca="1" si="82"/>
        <v>0</v>
      </c>
      <c r="CL48" s="327">
        <f t="shared" ca="1" si="83"/>
        <v>0</v>
      </c>
      <c r="CM48" s="327">
        <f t="shared" ca="1" si="84"/>
        <v>0</v>
      </c>
      <c r="CN48" s="327">
        <f t="shared" ca="1" si="85"/>
        <v>0</v>
      </c>
      <c r="CO48" s="327">
        <f t="shared" ca="1" si="86"/>
        <v>0</v>
      </c>
      <c r="CP48" s="328">
        <f t="shared" si="87"/>
        <v>67</v>
      </c>
      <c r="CQ48" s="327">
        <f t="shared" ca="1" si="128"/>
        <v>0</v>
      </c>
      <c r="CR48" s="327">
        <f t="shared" ca="1" si="129"/>
        <v>0</v>
      </c>
      <c r="CS48" s="327">
        <f t="shared" ca="1" si="130"/>
        <v>0</v>
      </c>
      <c r="CT48" s="327">
        <f t="shared" ca="1" si="131"/>
        <v>0</v>
      </c>
      <c r="CU48" s="327">
        <f t="shared" ca="1" si="132"/>
        <v>0</v>
      </c>
      <c r="CV48" s="327">
        <f t="shared" ca="1" si="133"/>
        <v>0</v>
      </c>
      <c r="CW48" s="327">
        <f t="shared" ca="1" si="134"/>
        <v>0</v>
      </c>
      <c r="DF48" s="417"/>
      <c r="DG48" s="417"/>
    </row>
    <row r="49" spans="1:111" s="329" customFormat="1" ht="71" customHeight="1" x14ac:dyDescent="0.35">
      <c r="A49" s="299"/>
      <c r="B49" s="19" t="s">
        <v>1102</v>
      </c>
      <c r="C49" s="19" t="s">
        <v>290</v>
      </c>
      <c r="D49" s="19" t="s">
        <v>1104</v>
      </c>
      <c r="E49" s="411"/>
      <c r="F49" s="412">
        <v>1</v>
      </c>
      <c r="G49" s="411">
        <v>0</v>
      </c>
      <c r="H49" s="406">
        <f t="shared" ref="H49" si="190">1-F49</f>
        <v>0</v>
      </c>
      <c r="I49" s="415" t="str">
        <f ca="1">IF(AND(O49=1,OR(E49="",E49&lt;0,E49&gt;W49,AND(H49&gt;0,OR(G49="",G49&lt;0,G49&gt;W49)),F49&gt;1,F49&lt;0)),_general!$A$83,"")</f>
        <v/>
      </c>
      <c r="J49" s="110" t="s">
        <v>81</v>
      </c>
      <c r="K49" s="110" t="s">
        <v>1101</v>
      </c>
      <c r="L49" s="110" t="s">
        <v>128</v>
      </c>
      <c r="M49" s="110" t="s">
        <v>129</v>
      </c>
      <c r="N49" s="110" t="s">
        <v>130</v>
      </c>
      <c r="O49" s="48">
        <f ca="1">IF(AND(INDIRECT(ADDRESS(VLOOKUP(INDIRECT(ADDRESS(ROW(),25)),_general!$A$85:$B$92,2,),7,,,"Building Information"))="yes",'Building Information'!$G$99=_general!$I71),1,0)</f>
        <v>0</v>
      </c>
      <c r="P49" s="111"/>
      <c r="Q49" s="111"/>
      <c r="R49" s="142" t="s">
        <v>863</v>
      </c>
      <c r="S49" s="142">
        <f>IF(OR('Building Information'!$G$50="yes",AND('Building Information'!$G$50="no",'Building Information'!$I$50=_general!$J$3)),1,0)</f>
        <v>1</v>
      </c>
      <c r="T49" s="142">
        <f t="shared" ref="T49" ca="1" si="191">IF(OR(O49=1,AND(S49=1,R49="always")),1,0)</f>
        <v>0</v>
      </c>
      <c r="U49" s="323">
        <f t="shared" ref="U49" ca="1" si="192">IF(O49=1,E49,0)</f>
        <v>0</v>
      </c>
      <c r="V49" s="323">
        <f t="shared" ref="V49" ca="1" si="193">IF(O49=1,G49,0)</f>
        <v>0</v>
      </c>
      <c r="W49" s="323">
        <f t="shared" ref="W49" si="194">ISTEXT(J49)+ISTEXT(K49)+ISTEXT(L49)+ISTEXT(M49)+ISTEXT(N49)-1</f>
        <v>4</v>
      </c>
      <c r="X49" s="323">
        <f t="shared" ref="X49" ca="1" si="195">IF(T49=1,W49,0)</f>
        <v>0</v>
      </c>
      <c r="Y49" s="323" t="str">
        <f>VLOOKUP($B49,overview_of_services!$B$2:$T$123,$Y$2,FALSE)</f>
        <v>electricity</v>
      </c>
      <c r="Z49" s="323">
        <f t="shared" ref="Z49" ca="1" si="196">VLOOKUP(B49,INDIRECT("'"&amp;Y49&amp;"'!"&amp;"C1:Z400"),$Z$2,0)+U49+$Z$4</f>
        <v>148</v>
      </c>
      <c r="AA49" s="323">
        <f t="shared" ca="1" si="189"/>
        <v>0</v>
      </c>
      <c r="AB49" s="323">
        <f t="shared" ca="1" si="189"/>
        <v>0</v>
      </c>
      <c r="AC49" s="323">
        <f t="shared" ca="1" si="189"/>
        <v>0</v>
      </c>
      <c r="AD49" s="323">
        <f t="shared" ca="1" si="189"/>
        <v>0</v>
      </c>
      <c r="AE49" s="323">
        <f t="shared" ca="1" si="189"/>
        <v>0</v>
      </c>
      <c r="AF49" s="323">
        <f t="shared" ca="1" si="189"/>
        <v>0</v>
      </c>
      <c r="AG49" s="323">
        <f t="shared" ca="1" si="189"/>
        <v>0</v>
      </c>
      <c r="AH49" s="323">
        <f t="shared" ref="AH49" ca="1" si="197">VLOOKUP(B49,INDIRECT("'"&amp;Y49&amp;"'!"&amp;"C1:Z400"),$Z$2,0)+V49+$Z$4</f>
        <v>148</v>
      </c>
      <c r="AI49" s="323">
        <f t="shared" ca="1" si="135"/>
        <v>0</v>
      </c>
      <c r="AJ49" s="323">
        <f t="shared" ca="1" si="135"/>
        <v>0</v>
      </c>
      <c r="AK49" s="323">
        <f t="shared" ca="1" si="135"/>
        <v>0</v>
      </c>
      <c r="AL49" s="323">
        <f t="shared" ca="1" si="135"/>
        <v>0</v>
      </c>
      <c r="AM49" s="323">
        <f t="shared" ca="1" si="135"/>
        <v>0</v>
      </c>
      <c r="AN49" s="323">
        <f t="shared" ca="1" si="135"/>
        <v>0</v>
      </c>
      <c r="AO49" s="323">
        <f t="shared" ca="1" si="135"/>
        <v>0</v>
      </c>
      <c r="AP49" s="324"/>
      <c r="AQ49" s="324" t="s">
        <v>973</v>
      </c>
      <c r="AR49" s="325">
        <f>VLOOKUP(Y49,_general!$A$65:$B$73,2,FALSE)+$AR$4</f>
        <v>59</v>
      </c>
      <c r="AS49" s="326">
        <f t="shared" ca="1" si="136"/>
        <v>1.6177575725207723E-2</v>
      </c>
      <c r="AT49" s="326">
        <f t="shared" ca="1" si="136"/>
        <v>1.5099070676860539E-2</v>
      </c>
      <c r="AU49" s="326">
        <f t="shared" ca="1" si="136"/>
        <v>0</v>
      </c>
      <c r="AV49" s="326">
        <f t="shared" ca="1" si="136"/>
        <v>0.1</v>
      </c>
      <c r="AW49" s="326">
        <f t="shared" ca="1" si="136"/>
        <v>0</v>
      </c>
      <c r="AX49" s="326">
        <f t="shared" ca="1" si="136"/>
        <v>1.6177575725207723E-2</v>
      </c>
      <c r="AY49" s="326">
        <f t="shared" ca="1" si="136"/>
        <v>0.1142857142857143</v>
      </c>
      <c r="AZ49" s="429"/>
      <c r="BA49" s="427">
        <f t="shared" ref="BA49" ca="1" si="198">AA49*AS49</f>
        <v>0</v>
      </c>
      <c r="BB49" s="427">
        <f t="shared" ref="BB49" ca="1" si="199">AB49*AT49</f>
        <v>0</v>
      </c>
      <c r="BC49" s="427">
        <f t="shared" ref="BC49" ca="1" si="200">AC49*AU49</f>
        <v>0</v>
      </c>
      <c r="BD49" s="427">
        <f t="shared" ref="BD49" ca="1" si="201">AD49*AV49</f>
        <v>0</v>
      </c>
      <c r="BE49" s="427">
        <f t="shared" ref="BE49" ca="1" si="202">AE49*AW49</f>
        <v>0</v>
      </c>
      <c r="BF49" s="427">
        <f t="shared" ref="BF49" ca="1" si="203">AF49*AX49</f>
        <v>0</v>
      </c>
      <c r="BG49" s="427">
        <f t="shared" ref="BG49" ca="1" si="204">AG49*AY49</f>
        <v>0</v>
      </c>
      <c r="BH49" s="434"/>
      <c r="BI49" s="427">
        <f t="shared" ref="BI49" si="205">IF($H49&gt;0,AI49*AS49,0)</f>
        <v>0</v>
      </c>
      <c r="BJ49" s="427">
        <f t="shared" ref="BJ49" si="206">IF($H49&gt;0,AJ49*AT49,0)</f>
        <v>0</v>
      </c>
      <c r="BK49" s="427">
        <f t="shared" ref="BK49" si="207">IF($H49&gt;0,AK49*AU49,0)</f>
        <v>0</v>
      </c>
      <c r="BL49" s="427">
        <f t="shared" ref="BL49" si="208">IF($H49&gt;0,AL49*AV49,0)</f>
        <v>0</v>
      </c>
      <c r="BM49" s="427">
        <f t="shared" ref="BM49" si="209">IF($H49&gt;0,AM49*AW49,0)</f>
        <v>0</v>
      </c>
      <c r="BN49" s="427">
        <f t="shared" ref="BN49" si="210">IF($H49&gt;0,AN49*AX49,0)</f>
        <v>0</v>
      </c>
      <c r="BO49" s="427">
        <f t="shared" ref="BO49" si="211">IF($H49&gt;0,AO49*AY49,0)</f>
        <v>0</v>
      </c>
      <c r="BP49" s="428">
        <f t="shared" si="72"/>
        <v>67</v>
      </c>
      <c r="BQ49" s="327">
        <f t="shared" ref="BQ49" ca="1" si="212">INDIRECT(ADDRESS($BP49,BQ$2,1,,"Weightings"))*(BA49*$F49+BI49*$H49)</f>
        <v>0</v>
      </c>
      <c r="BR49" s="327">
        <f t="shared" ref="BR49" ca="1" si="213">INDIRECT(ADDRESS($BP49,BR$2,1,,"Weightings"))*(BB49*$F49+BJ49*$H49)</f>
        <v>0</v>
      </c>
      <c r="BS49" s="327">
        <f t="shared" ref="BS49" ca="1" si="214">INDIRECT(ADDRESS($BP49,BS$2,1,,"Weightings"))*(BC49*$F49+BK49*$H49)</f>
        <v>0</v>
      </c>
      <c r="BT49" s="327">
        <f t="shared" ref="BT49" ca="1" si="215">INDIRECT(ADDRESS($BP49,BT$2,1,,"Weightings"))*(BD49*$F49+BL49*$H49)</f>
        <v>0</v>
      </c>
      <c r="BU49" s="327">
        <f t="shared" ref="BU49" ca="1" si="216">INDIRECT(ADDRESS($BP49,BU$2,1,,"Weightings"))*(BE49*$F49+BM49*$H49)</f>
        <v>0</v>
      </c>
      <c r="BV49" s="327">
        <f t="shared" ref="BV49" ca="1" si="217">INDIRECT(ADDRESS($BP49,BV$2,1,,"Weightings"))*(BF49*$F49+BN49*$H49)</f>
        <v>0</v>
      </c>
      <c r="BW49" s="327">
        <f t="shared" ref="BW49" ca="1" si="218">INDIRECT(ADDRESS($BP49,BW$2,1,,"Weightings"))*(BG49*$F49+BO49*$H49)</f>
        <v>0</v>
      </c>
      <c r="BY49" s="323" t="str">
        <f t="shared" ref="BY49" si="219">Y49</f>
        <v>electricity</v>
      </c>
      <c r="BZ49" s="323">
        <f t="shared" ref="BZ49" ca="1" si="220">VLOOKUP(B49,INDIRECT("'"&amp;Y49&amp;"'!"&amp;"C1:Z500"),$Z$2,0)+X49+$Z$4</f>
        <v>148</v>
      </c>
      <c r="CA49" s="323">
        <f t="shared" ref="CA49" ca="1" si="221">IF($O49=1,INDIRECT(ADDRESS($BZ49,AI$2,1,,$BY49)),0)</f>
        <v>0</v>
      </c>
      <c r="CB49" s="323">
        <f t="shared" ref="CB49" ca="1" si="222">IF($O49=1,INDIRECT(ADDRESS($BZ49,AJ$2,1,,$BY49)),0)</f>
        <v>0</v>
      </c>
      <c r="CC49" s="323">
        <f t="shared" ref="CC49" ca="1" si="223">IF($O49=1,INDIRECT(ADDRESS($BZ49,AK$2,1,,$BY49)),0)</f>
        <v>0</v>
      </c>
      <c r="CD49" s="323">
        <f t="shared" ref="CD49" ca="1" si="224">IF($O49=1,INDIRECT(ADDRESS($BZ49,AL$2,1,,$BY49)),0)</f>
        <v>0</v>
      </c>
      <c r="CE49" s="323">
        <f t="shared" ref="CE49" ca="1" si="225">IF($O49=1,INDIRECT(ADDRESS($BZ49,AM$2,1,,$BY49)),0)</f>
        <v>0</v>
      </c>
      <c r="CF49" s="323">
        <f t="shared" ref="CF49" ca="1" si="226">IF($O49=1,INDIRECT(ADDRESS($BZ49,AN$2,1,,$BY49)),0)</f>
        <v>0</v>
      </c>
      <c r="CG49" s="323">
        <f t="shared" ref="CG49" ca="1" si="227">IF($O49=1,INDIRECT(ADDRESS($BZ49,AO$2,1,,$BY49)),0)</f>
        <v>0</v>
      </c>
      <c r="CI49" s="327">
        <f t="shared" ref="CI49" ca="1" si="228">AS49*CA49</f>
        <v>0</v>
      </c>
      <c r="CJ49" s="327">
        <f t="shared" ref="CJ49" ca="1" si="229">AT49*CB49</f>
        <v>0</v>
      </c>
      <c r="CK49" s="327">
        <f t="shared" ref="CK49" ca="1" si="230">AU49*CC49</f>
        <v>0</v>
      </c>
      <c r="CL49" s="327">
        <f t="shared" ref="CL49" ca="1" si="231">AV49*CD49</f>
        <v>0</v>
      </c>
      <c r="CM49" s="327">
        <f t="shared" ref="CM49" ca="1" si="232">AW49*CE49</f>
        <v>0</v>
      </c>
      <c r="CN49" s="327">
        <f t="shared" ref="CN49" ca="1" si="233">AX49*CF49</f>
        <v>0</v>
      </c>
      <c r="CO49" s="327">
        <f t="shared" ref="CO49" ca="1" si="234">AY49*CG49</f>
        <v>0</v>
      </c>
      <c r="CP49" s="328">
        <f t="shared" ref="CP49" si="235">BP49</f>
        <v>67</v>
      </c>
      <c r="CQ49" s="327">
        <f t="shared" ref="CQ49" ca="1" si="236">INDIRECT(ADDRESS($CP49,CQ$2,1,,"Weightings"))*CI49</f>
        <v>0</v>
      </c>
      <c r="CR49" s="327">
        <f t="shared" ref="CR49" ca="1" si="237">INDIRECT(ADDRESS($BP49,CR$2,1,,"Weightings"))*CJ49</f>
        <v>0</v>
      </c>
      <c r="CS49" s="327">
        <f t="shared" ref="CS49" ca="1" si="238">INDIRECT(ADDRESS($BP49,CS$2,1,,"Weightings"))*CK49</f>
        <v>0</v>
      </c>
      <c r="CT49" s="327">
        <f t="shared" ref="CT49" ca="1" si="239">INDIRECT(ADDRESS($BP49,CT$2,1,,"Weightings"))*CL49</f>
        <v>0</v>
      </c>
      <c r="CU49" s="327">
        <f t="shared" ref="CU49" ca="1" si="240">INDIRECT(ADDRESS($BP49,CU$2,1,,"Weightings"))*CM49</f>
        <v>0</v>
      </c>
      <c r="CV49" s="327">
        <f t="shared" ref="CV49" ca="1" si="241">INDIRECT(ADDRESS($BP49,CV$2,1,,"Weightings"))*CN49</f>
        <v>0</v>
      </c>
      <c r="CW49" s="327">
        <f t="shared" ref="CW49" ca="1" si="242">INDIRECT(ADDRESS($BP49,CW$2,1,,"Weightings"))*CO49</f>
        <v>0</v>
      </c>
      <c r="DF49" s="417"/>
      <c r="DG49" s="417"/>
    </row>
    <row r="50" spans="1:111" s="329" customFormat="1" x14ac:dyDescent="0.35">
      <c r="A50" s="305" t="s">
        <v>293</v>
      </c>
      <c r="B50" s="21" t="s">
        <v>445</v>
      </c>
      <c r="C50" s="21" t="s">
        <v>446</v>
      </c>
      <c r="D50" s="21" t="s">
        <v>447</v>
      </c>
      <c r="E50" s="411">
        <v>2</v>
      </c>
      <c r="F50" s="412">
        <v>1</v>
      </c>
      <c r="G50" s="411">
        <v>0</v>
      </c>
      <c r="H50" s="406">
        <f t="shared" si="88"/>
        <v>0</v>
      </c>
      <c r="I50" s="415" t="str">
        <f ca="1">IF(AND(O50=1,OR(E50="",E50&lt;0,E50&gt;W50,AND(H50&gt;0,OR(G50="",G50&lt;0,G50&gt;W50)),F50&gt;1,F50&lt;0)),_general!$A$83,"")</f>
        <v/>
      </c>
      <c r="J50" s="110" t="s">
        <v>133</v>
      </c>
      <c r="K50" s="110" t="s">
        <v>448</v>
      </c>
      <c r="L50" s="110" t="s">
        <v>449</v>
      </c>
      <c r="M50" s="110" t="s">
        <v>450</v>
      </c>
      <c r="N50" s="110"/>
      <c r="O50" s="48">
        <f ca="1">IF(OR(INDIRECT(ADDRESS(VLOOKUP(INDIRECT(ADDRESS(ROW(),25)),_general!$A$85:$B$92,2,),7,,,"Building Information"))="yes",AND(INDIRECT(ADDRESS(VLOOKUP(INDIRECT(ADDRESS(ROW(),25)),_general!$A$85:$B$92,2,),7,,,"Building Information"))="no",INDIRECT(ADDRESS(VLOOKUP(INDIRECT(ADDRESS(ROW(),25)),_general!$A$85:$B$92,2,),9,,,"Building Information"))=_general!$J$3)),1,0)</f>
        <v>1</v>
      </c>
      <c r="P50" s="111"/>
      <c r="Q50" s="111"/>
      <c r="R50" s="142" t="s">
        <v>978</v>
      </c>
      <c r="S50" s="142">
        <f>IF(OR('Building Information'!$G$51="yes",AND('Building Information'!$G$51="no",'Building Information'!$I$51=_general!$J$3)),1,0)</f>
        <v>1</v>
      </c>
      <c r="T50" s="142">
        <f t="shared" ca="1" si="116"/>
        <v>1</v>
      </c>
      <c r="U50" s="323">
        <f t="shared" ca="1" si="117"/>
        <v>2</v>
      </c>
      <c r="V50" s="323">
        <f t="shared" ca="1" si="54"/>
        <v>0</v>
      </c>
      <c r="W50" s="323">
        <f t="shared" si="118"/>
        <v>3</v>
      </c>
      <c r="X50" s="323">
        <f t="shared" ca="1" si="55"/>
        <v>3</v>
      </c>
      <c r="Y50" s="323" t="str">
        <f>VLOOKUP($B50,overview_of_services!$B$2:$T$123,$Y$2,FALSE)</f>
        <v>EV</v>
      </c>
      <c r="Z50" s="323">
        <f t="shared" ca="1" si="119"/>
        <v>180</v>
      </c>
      <c r="AA50" s="323">
        <f t="shared" ca="1" si="189"/>
        <v>0</v>
      </c>
      <c r="AB50" s="323">
        <f t="shared" ca="1" si="189"/>
        <v>0</v>
      </c>
      <c r="AC50" s="323">
        <f t="shared" ca="1" si="189"/>
        <v>0</v>
      </c>
      <c r="AD50" s="323">
        <f t="shared" ca="1" si="189"/>
        <v>1</v>
      </c>
      <c r="AE50" s="323">
        <f t="shared" ca="1" si="189"/>
        <v>0</v>
      </c>
      <c r="AF50" s="323">
        <f t="shared" ca="1" si="189"/>
        <v>0</v>
      </c>
      <c r="AG50" s="323">
        <f t="shared" ca="1" si="189"/>
        <v>0</v>
      </c>
      <c r="AH50" s="323">
        <f t="shared" ca="1" si="57"/>
        <v>178</v>
      </c>
      <c r="AI50" s="323">
        <f t="shared" ca="1" si="135"/>
        <v>0</v>
      </c>
      <c r="AJ50" s="323">
        <f t="shared" ca="1" si="135"/>
        <v>0</v>
      </c>
      <c r="AK50" s="323">
        <f t="shared" ca="1" si="135"/>
        <v>0</v>
      </c>
      <c r="AL50" s="323">
        <f t="shared" ca="1" si="135"/>
        <v>0</v>
      </c>
      <c r="AM50" s="323">
        <f t="shared" ca="1" si="135"/>
        <v>0</v>
      </c>
      <c r="AN50" s="323">
        <f t="shared" ca="1" si="135"/>
        <v>0</v>
      </c>
      <c r="AO50" s="323">
        <f t="shared" ca="1" si="135"/>
        <v>0</v>
      </c>
      <c r="AP50" s="324"/>
      <c r="AQ50" s="324" t="s">
        <v>973</v>
      </c>
      <c r="AR50" s="325">
        <f>VLOOKUP(Y50,_general!$A$65:$B$73,2,FALSE)+$AR$4</f>
        <v>61</v>
      </c>
      <c r="AS50" s="326">
        <f t="shared" ca="1" si="136"/>
        <v>0</v>
      </c>
      <c r="AT50" s="326">
        <f t="shared" ca="1" si="136"/>
        <v>0.05</v>
      </c>
      <c r="AU50" s="326">
        <f t="shared" ca="1" si="136"/>
        <v>0</v>
      </c>
      <c r="AV50" s="326">
        <f t="shared" ca="1" si="136"/>
        <v>0.1</v>
      </c>
      <c r="AW50" s="326">
        <f t="shared" ca="1" si="136"/>
        <v>0</v>
      </c>
      <c r="AX50" s="326">
        <f t="shared" ca="1" si="136"/>
        <v>0</v>
      </c>
      <c r="AY50" s="326">
        <f t="shared" ca="1" si="136"/>
        <v>0.1142857142857143</v>
      </c>
      <c r="AZ50" s="429"/>
      <c r="BA50" s="427">
        <f t="shared" ca="1" si="89"/>
        <v>0</v>
      </c>
      <c r="BB50" s="427">
        <f t="shared" ca="1" si="92"/>
        <v>0</v>
      </c>
      <c r="BC50" s="427">
        <f t="shared" ca="1" si="93"/>
        <v>0</v>
      </c>
      <c r="BD50" s="427">
        <f t="shared" ca="1" si="94"/>
        <v>0.1</v>
      </c>
      <c r="BE50" s="427">
        <f t="shared" ca="1" si="95"/>
        <v>0</v>
      </c>
      <c r="BF50" s="427">
        <f t="shared" ca="1" si="96"/>
        <v>0</v>
      </c>
      <c r="BG50" s="427">
        <f t="shared" ca="1" si="97"/>
        <v>0</v>
      </c>
      <c r="BH50" s="434"/>
      <c r="BI50" s="427">
        <f t="shared" si="90"/>
        <v>0</v>
      </c>
      <c r="BJ50" s="427">
        <f t="shared" si="98"/>
        <v>0</v>
      </c>
      <c r="BK50" s="427">
        <f t="shared" si="99"/>
        <v>0</v>
      </c>
      <c r="BL50" s="427">
        <f t="shared" si="100"/>
        <v>0</v>
      </c>
      <c r="BM50" s="427">
        <f t="shared" si="101"/>
        <v>0</v>
      </c>
      <c r="BN50" s="427">
        <f t="shared" si="102"/>
        <v>0</v>
      </c>
      <c r="BO50" s="427">
        <f t="shared" si="103"/>
        <v>0</v>
      </c>
      <c r="BP50" s="428">
        <f t="shared" si="72"/>
        <v>67</v>
      </c>
      <c r="BQ50" s="327">
        <f t="shared" ca="1" si="91"/>
        <v>0</v>
      </c>
      <c r="BR50" s="327">
        <f t="shared" ca="1" si="73"/>
        <v>0</v>
      </c>
      <c r="BS50" s="327">
        <f t="shared" ca="1" si="74"/>
        <v>0</v>
      </c>
      <c r="BT50" s="327">
        <f t="shared" ca="1" si="75"/>
        <v>8.3333333333333332E-3</v>
      </c>
      <c r="BU50" s="327">
        <f t="shared" ca="1" si="76"/>
        <v>0</v>
      </c>
      <c r="BV50" s="327">
        <f t="shared" ca="1" si="77"/>
        <v>0</v>
      </c>
      <c r="BW50" s="327">
        <f t="shared" ca="1" si="78"/>
        <v>0</v>
      </c>
      <c r="BY50" s="323" t="str">
        <f t="shared" si="79"/>
        <v>EV</v>
      </c>
      <c r="BZ50" s="323">
        <f t="shared" ca="1" si="120"/>
        <v>181</v>
      </c>
      <c r="CA50" s="323">
        <f t="shared" ca="1" si="121"/>
        <v>0</v>
      </c>
      <c r="CB50" s="323">
        <f t="shared" ca="1" si="122"/>
        <v>0</v>
      </c>
      <c r="CC50" s="323">
        <f t="shared" ca="1" si="123"/>
        <v>0</v>
      </c>
      <c r="CD50" s="323">
        <f t="shared" ca="1" si="124"/>
        <v>2</v>
      </c>
      <c r="CE50" s="323">
        <f t="shared" ca="1" si="125"/>
        <v>0</v>
      </c>
      <c r="CF50" s="323">
        <f t="shared" ca="1" si="126"/>
        <v>0</v>
      </c>
      <c r="CG50" s="323">
        <f t="shared" ca="1" si="127"/>
        <v>0</v>
      </c>
      <c r="CI50" s="327">
        <f t="shared" ca="1" si="80"/>
        <v>0</v>
      </c>
      <c r="CJ50" s="327">
        <f t="shared" ca="1" si="81"/>
        <v>0</v>
      </c>
      <c r="CK50" s="327">
        <f t="shared" ca="1" si="82"/>
        <v>0</v>
      </c>
      <c r="CL50" s="327">
        <f t="shared" ca="1" si="83"/>
        <v>0.2</v>
      </c>
      <c r="CM50" s="327">
        <f t="shared" ca="1" si="84"/>
        <v>0</v>
      </c>
      <c r="CN50" s="327">
        <f t="shared" ca="1" si="85"/>
        <v>0</v>
      </c>
      <c r="CO50" s="327">
        <f t="shared" ca="1" si="86"/>
        <v>0</v>
      </c>
      <c r="CP50" s="328">
        <f t="shared" si="87"/>
        <v>67</v>
      </c>
      <c r="CQ50" s="327">
        <f t="shared" ca="1" si="128"/>
        <v>0</v>
      </c>
      <c r="CR50" s="327">
        <f t="shared" ca="1" si="129"/>
        <v>0</v>
      </c>
      <c r="CS50" s="327">
        <f t="shared" ca="1" si="130"/>
        <v>0</v>
      </c>
      <c r="CT50" s="327">
        <f t="shared" ca="1" si="131"/>
        <v>1.6666666666666666E-2</v>
      </c>
      <c r="CU50" s="327">
        <f t="shared" ca="1" si="132"/>
        <v>0</v>
      </c>
      <c r="CV50" s="327">
        <f t="shared" ca="1" si="133"/>
        <v>0</v>
      </c>
      <c r="CW50" s="327">
        <f t="shared" ca="1" si="134"/>
        <v>0</v>
      </c>
      <c r="CY50" s="332"/>
      <c r="CZ50" s="332"/>
      <c r="DA50" s="332"/>
      <c r="DB50" s="332"/>
      <c r="DC50" s="332"/>
      <c r="DD50" s="332"/>
      <c r="DE50" s="332"/>
      <c r="DF50" s="417"/>
      <c r="DG50" s="417"/>
    </row>
    <row r="51" spans="1:111" s="333" customFormat="1" x14ac:dyDescent="0.35">
      <c r="A51" s="306"/>
      <c r="B51" s="21" t="s">
        <v>453</v>
      </c>
      <c r="C51" s="21" t="s">
        <v>417</v>
      </c>
      <c r="D51" s="21" t="s">
        <v>454</v>
      </c>
      <c r="E51" s="411">
        <v>1</v>
      </c>
      <c r="F51" s="412">
        <v>1</v>
      </c>
      <c r="G51" s="411">
        <v>0</v>
      </c>
      <c r="H51" s="406">
        <f t="shared" si="88"/>
        <v>0</v>
      </c>
      <c r="I51" s="415" t="str">
        <f ca="1">IF(AND(O51=1,OR(E51="",E51&lt;0,E51&gt;W51,AND(H51&gt;0,OR(G51="",G51&lt;0,G51&gt;W51)),F51&gt;1,F51&lt;0)),_general!$A$83,"")</f>
        <v/>
      </c>
      <c r="J51" s="110" t="s">
        <v>133</v>
      </c>
      <c r="K51" s="110" t="s">
        <v>455</v>
      </c>
      <c r="L51" s="110" t="s">
        <v>456</v>
      </c>
      <c r="M51" s="110"/>
      <c r="N51" s="110"/>
      <c r="O51" s="48">
        <f ca="1">IF(AND(INDIRECT(ADDRESS(VLOOKUP(INDIRECT(ADDRESS(ROW(),25)),_general!$A$85:$B$92,2,),7,,,"Building Information"))="yes",'Building Information'!$G$107=_general!$I$81),1,0)</f>
        <v>1</v>
      </c>
      <c r="P51" s="111"/>
      <c r="Q51" s="111"/>
      <c r="R51" s="142" t="s">
        <v>863</v>
      </c>
      <c r="S51" s="142">
        <f>IF(OR('Building Information'!$G$51="yes",AND('Building Information'!$G$51="no",'Building Information'!$I$51=_general!$J$3)),1,0)</f>
        <v>1</v>
      </c>
      <c r="T51" s="142">
        <f t="shared" ca="1" si="116"/>
        <v>1</v>
      </c>
      <c r="U51" s="323">
        <f t="shared" ca="1" si="117"/>
        <v>1</v>
      </c>
      <c r="V51" s="323">
        <f t="shared" ca="1" si="54"/>
        <v>0</v>
      </c>
      <c r="W51" s="323">
        <f t="shared" si="118"/>
        <v>2</v>
      </c>
      <c r="X51" s="323">
        <f t="shared" ca="1" si="55"/>
        <v>2</v>
      </c>
      <c r="Y51" s="323" t="str">
        <f>VLOOKUP($B51,overview_of_services!$B$2:$T$123,$Y$2,FALSE)</f>
        <v>EV</v>
      </c>
      <c r="Z51" s="323">
        <f t="shared" ca="1" si="119"/>
        <v>193</v>
      </c>
      <c r="AA51" s="323">
        <f t="shared" ca="1" si="189"/>
        <v>0</v>
      </c>
      <c r="AB51" s="323">
        <f t="shared" ca="1" si="189"/>
        <v>1</v>
      </c>
      <c r="AC51" s="323">
        <f t="shared" ca="1" si="189"/>
        <v>0</v>
      </c>
      <c r="AD51" s="323">
        <f t="shared" ca="1" si="189"/>
        <v>1</v>
      </c>
      <c r="AE51" s="323">
        <f t="shared" ca="1" si="189"/>
        <v>0</v>
      </c>
      <c r="AF51" s="323">
        <f t="shared" ca="1" si="189"/>
        <v>0</v>
      </c>
      <c r="AG51" s="323">
        <f t="shared" ca="1" si="189"/>
        <v>0</v>
      </c>
      <c r="AH51" s="323">
        <f t="shared" ca="1" si="57"/>
        <v>192</v>
      </c>
      <c r="AI51" s="323">
        <f t="shared" ca="1" si="135"/>
        <v>0</v>
      </c>
      <c r="AJ51" s="323">
        <f t="shared" ca="1" si="135"/>
        <v>-2</v>
      </c>
      <c r="AK51" s="323">
        <f t="shared" ca="1" si="135"/>
        <v>0</v>
      </c>
      <c r="AL51" s="323">
        <f t="shared" ca="1" si="135"/>
        <v>0</v>
      </c>
      <c r="AM51" s="323">
        <f t="shared" ca="1" si="135"/>
        <v>0</v>
      </c>
      <c r="AN51" s="323">
        <f t="shared" ca="1" si="135"/>
        <v>0</v>
      </c>
      <c r="AO51" s="323">
        <f t="shared" ca="1" si="135"/>
        <v>0</v>
      </c>
      <c r="AP51" s="324"/>
      <c r="AQ51" s="324" t="s">
        <v>973</v>
      </c>
      <c r="AR51" s="325">
        <f>VLOOKUP(Y51,_general!$A$65:$B$73,2,FALSE)+$AR$4</f>
        <v>61</v>
      </c>
      <c r="AS51" s="326">
        <f t="shared" ca="1" si="136"/>
        <v>0</v>
      </c>
      <c r="AT51" s="326">
        <f t="shared" ca="1" si="136"/>
        <v>0.05</v>
      </c>
      <c r="AU51" s="326">
        <f t="shared" ca="1" si="136"/>
        <v>0</v>
      </c>
      <c r="AV51" s="326">
        <f t="shared" ca="1" si="136"/>
        <v>0.1</v>
      </c>
      <c r="AW51" s="326">
        <f t="shared" ca="1" si="136"/>
        <v>0</v>
      </c>
      <c r="AX51" s="326">
        <f t="shared" ca="1" si="136"/>
        <v>0</v>
      </c>
      <c r="AY51" s="326">
        <f t="shared" ca="1" si="136"/>
        <v>0.1142857142857143</v>
      </c>
      <c r="AZ51" s="429"/>
      <c r="BA51" s="427">
        <f t="shared" ca="1" si="89"/>
        <v>0</v>
      </c>
      <c r="BB51" s="427">
        <f t="shared" ca="1" si="92"/>
        <v>0.05</v>
      </c>
      <c r="BC51" s="427">
        <f t="shared" ca="1" si="93"/>
        <v>0</v>
      </c>
      <c r="BD51" s="427">
        <f t="shared" ca="1" si="94"/>
        <v>0.1</v>
      </c>
      <c r="BE51" s="427">
        <f t="shared" ca="1" si="95"/>
        <v>0</v>
      </c>
      <c r="BF51" s="427">
        <f t="shared" ca="1" si="96"/>
        <v>0</v>
      </c>
      <c r="BG51" s="427">
        <f t="shared" ca="1" si="97"/>
        <v>0</v>
      </c>
      <c r="BH51" s="434"/>
      <c r="BI51" s="427">
        <f t="shared" si="90"/>
        <v>0</v>
      </c>
      <c r="BJ51" s="427">
        <f t="shared" si="98"/>
        <v>0</v>
      </c>
      <c r="BK51" s="427">
        <f t="shared" si="99"/>
        <v>0</v>
      </c>
      <c r="BL51" s="427">
        <f t="shared" si="100"/>
        <v>0</v>
      </c>
      <c r="BM51" s="427">
        <f t="shared" si="101"/>
        <v>0</v>
      </c>
      <c r="BN51" s="427">
        <f t="shared" si="102"/>
        <v>0</v>
      </c>
      <c r="BO51" s="427">
        <f t="shared" si="103"/>
        <v>0</v>
      </c>
      <c r="BP51" s="428">
        <f t="shared" si="72"/>
        <v>67</v>
      </c>
      <c r="BQ51" s="327">
        <f t="shared" ca="1" si="91"/>
        <v>0</v>
      </c>
      <c r="BR51" s="327">
        <f t="shared" ca="1" si="73"/>
        <v>1.6666666666666666E-2</v>
      </c>
      <c r="BS51" s="327">
        <f t="shared" ca="1" si="74"/>
        <v>0</v>
      </c>
      <c r="BT51" s="327">
        <f t="shared" ca="1" si="75"/>
        <v>8.3333333333333332E-3</v>
      </c>
      <c r="BU51" s="327">
        <f t="shared" ca="1" si="76"/>
        <v>0</v>
      </c>
      <c r="BV51" s="327">
        <f t="shared" ca="1" si="77"/>
        <v>0</v>
      </c>
      <c r="BW51" s="327">
        <f t="shared" ca="1" si="78"/>
        <v>0</v>
      </c>
      <c r="BY51" s="323" t="str">
        <f t="shared" si="79"/>
        <v>EV</v>
      </c>
      <c r="BZ51" s="323">
        <f t="shared" ca="1" si="120"/>
        <v>194</v>
      </c>
      <c r="CA51" s="323">
        <f t="shared" ca="1" si="121"/>
        <v>0</v>
      </c>
      <c r="CB51" s="323">
        <f t="shared" ca="1" si="122"/>
        <v>3</v>
      </c>
      <c r="CC51" s="323">
        <f t="shared" ca="1" si="123"/>
        <v>0</v>
      </c>
      <c r="CD51" s="323">
        <f t="shared" ca="1" si="124"/>
        <v>1</v>
      </c>
      <c r="CE51" s="323">
        <f t="shared" ca="1" si="125"/>
        <v>0</v>
      </c>
      <c r="CF51" s="323">
        <f t="shared" ca="1" si="126"/>
        <v>0</v>
      </c>
      <c r="CG51" s="323">
        <f t="shared" ca="1" si="127"/>
        <v>0</v>
      </c>
      <c r="CI51" s="327">
        <f t="shared" ca="1" si="80"/>
        <v>0</v>
      </c>
      <c r="CJ51" s="327">
        <f t="shared" ca="1" si="81"/>
        <v>0.15000000000000002</v>
      </c>
      <c r="CK51" s="327">
        <f t="shared" ca="1" si="82"/>
        <v>0</v>
      </c>
      <c r="CL51" s="327">
        <f t="shared" ca="1" si="83"/>
        <v>0.1</v>
      </c>
      <c r="CM51" s="327">
        <f t="shared" ca="1" si="84"/>
        <v>0</v>
      </c>
      <c r="CN51" s="327">
        <f t="shared" ca="1" si="85"/>
        <v>0</v>
      </c>
      <c r="CO51" s="327">
        <f t="shared" ca="1" si="86"/>
        <v>0</v>
      </c>
      <c r="CP51" s="328">
        <f t="shared" si="87"/>
        <v>67</v>
      </c>
      <c r="CQ51" s="327">
        <f t="shared" ca="1" si="128"/>
        <v>0</v>
      </c>
      <c r="CR51" s="327">
        <f t="shared" ca="1" si="129"/>
        <v>0.05</v>
      </c>
      <c r="CS51" s="327">
        <f t="shared" ca="1" si="130"/>
        <v>0</v>
      </c>
      <c r="CT51" s="327">
        <f t="shared" ca="1" si="131"/>
        <v>8.3333333333333332E-3</v>
      </c>
      <c r="CU51" s="327">
        <f t="shared" ca="1" si="132"/>
        <v>0</v>
      </c>
      <c r="CV51" s="327">
        <f t="shared" ca="1" si="133"/>
        <v>0</v>
      </c>
      <c r="CW51" s="327">
        <f t="shared" ca="1" si="134"/>
        <v>0</v>
      </c>
      <c r="CY51" s="334"/>
      <c r="CZ51" s="334"/>
      <c r="DA51" s="334"/>
      <c r="DB51" s="334"/>
      <c r="DC51" s="334"/>
      <c r="DD51" s="334"/>
      <c r="DE51" s="334"/>
      <c r="DF51" s="418"/>
      <c r="DG51" s="418"/>
    </row>
    <row r="52" spans="1:111" s="329" customFormat="1" ht="29" x14ac:dyDescent="0.35">
      <c r="A52" s="305" t="s">
        <v>293</v>
      </c>
      <c r="B52" s="21" t="s">
        <v>459</v>
      </c>
      <c r="C52" s="21" t="s">
        <v>460</v>
      </c>
      <c r="D52" s="21" t="s">
        <v>461</v>
      </c>
      <c r="E52" s="411">
        <v>0</v>
      </c>
      <c r="F52" s="412">
        <v>1</v>
      </c>
      <c r="G52" s="411">
        <v>0</v>
      </c>
      <c r="H52" s="406">
        <f t="shared" si="88"/>
        <v>0</v>
      </c>
      <c r="I52" s="415" t="str">
        <f ca="1">IF(AND(O52=1,OR(E52="",E52&lt;0,E52&gt;W52,AND(H52&gt;0,OR(G52="",G52&lt;0,G52&gt;W52)),F52&gt;1,F52&lt;0)),_general!$A$83,"")</f>
        <v/>
      </c>
      <c r="J52" s="110" t="s">
        <v>462</v>
      </c>
      <c r="K52" s="110" t="s">
        <v>463</v>
      </c>
      <c r="L52" s="110" t="s">
        <v>464</v>
      </c>
      <c r="M52" s="110"/>
      <c r="N52" s="110"/>
      <c r="O52" s="48">
        <f ca="1">IF(AND(INDIRECT(ADDRESS(VLOOKUP(INDIRECT(ADDRESS(ROW(),25)),_general!$A$85:$B$92,2,),7,,,"Building Information"))="yes",'Building Information'!$G$107=_general!$I$81),1,0)</f>
        <v>1</v>
      </c>
      <c r="P52" s="111"/>
      <c r="Q52" s="111"/>
      <c r="R52" s="142" t="s">
        <v>863</v>
      </c>
      <c r="S52" s="142">
        <f>IF(OR('Building Information'!$G$51="yes",AND('Building Information'!$G$51="no",'Building Information'!$I$51=_general!$J$3)),1,0)</f>
        <v>1</v>
      </c>
      <c r="T52" s="142">
        <f t="shared" ca="1" si="116"/>
        <v>1</v>
      </c>
      <c r="U52" s="323">
        <f t="shared" ca="1" si="117"/>
        <v>0</v>
      </c>
      <c r="V52" s="323">
        <f t="shared" ca="1" si="54"/>
        <v>0</v>
      </c>
      <c r="W52" s="323">
        <f t="shared" si="118"/>
        <v>2</v>
      </c>
      <c r="X52" s="323">
        <f t="shared" ca="1" si="55"/>
        <v>2</v>
      </c>
      <c r="Y52" s="323" t="str">
        <f>VLOOKUP($B52,overview_of_services!$B$2:$T$123,$Y$2,FALSE)</f>
        <v>EV</v>
      </c>
      <c r="Z52" s="323">
        <f t="shared" ca="1" si="119"/>
        <v>206</v>
      </c>
      <c r="AA52" s="323">
        <f t="shared" ca="1" si="189"/>
        <v>0</v>
      </c>
      <c r="AB52" s="323">
        <f t="shared" ca="1" si="189"/>
        <v>0</v>
      </c>
      <c r="AC52" s="323">
        <f t="shared" ca="1" si="189"/>
        <v>0</v>
      </c>
      <c r="AD52" s="323">
        <f t="shared" ca="1" si="189"/>
        <v>0</v>
      </c>
      <c r="AE52" s="323">
        <f t="shared" ca="1" si="189"/>
        <v>0</v>
      </c>
      <c r="AF52" s="323">
        <f t="shared" ca="1" si="189"/>
        <v>0</v>
      </c>
      <c r="AG52" s="323">
        <f t="shared" ca="1" si="189"/>
        <v>0</v>
      </c>
      <c r="AH52" s="323">
        <f t="shared" ca="1" si="57"/>
        <v>206</v>
      </c>
      <c r="AI52" s="323">
        <f t="shared" ca="1" si="135"/>
        <v>0</v>
      </c>
      <c r="AJ52" s="323">
        <f t="shared" ca="1" si="135"/>
        <v>0</v>
      </c>
      <c r="AK52" s="323">
        <f t="shared" ca="1" si="135"/>
        <v>0</v>
      </c>
      <c r="AL52" s="323">
        <f t="shared" ca="1" si="135"/>
        <v>0</v>
      </c>
      <c r="AM52" s="323">
        <f t="shared" ca="1" si="135"/>
        <v>0</v>
      </c>
      <c r="AN52" s="323">
        <f t="shared" ca="1" si="135"/>
        <v>0</v>
      </c>
      <c r="AO52" s="323">
        <f t="shared" ca="1" si="135"/>
        <v>0</v>
      </c>
      <c r="AP52" s="324"/>
      <c r="AQ52" s="324" t="s">
        <v>973</v>
      </c>
      <c r="AR52" s="325">
        <f>VLOOKUP(Y52,_general!$A$65:$B$73,2,FALSE)+$AR$4</f>
        <v>61</v>
      </c>
      <c r="AS52" s="326">
        <f t="shared" ca="1" si="136"/>
        <v>0</v>
      </c>
      <c r="AT52" s="326">
        <f t="shared" ca="1" si="136"/>
        <v>0.05</v>
      </c>
      <c r="AU52" s="326">
        <f t="shared" ca="1" si="136"/>
        <v>0</v>
      </c>
      <c r="AV52" s="326">
        <f t="shared" ca="1" si="136"/>
        <v>0.1</v>
      </c>
      <c r="AW52" s="326">
        <f t="shared" ca="1" si="136"/>
        <v>0</v>
      </c>
      <c r="AX52" s="326">
        <f t="shared" ca="1" si="136"/>
        <v>0</v>
      </c>
      <c r="AY52" s="326">
        <f t="shared" ca="1" si="136"/>
        <v>0.1142857142857143</v>
      </c>
      <c r="AZ52" s="429"/>
      <c r="BA52" s="427">
        <f t="shared" ca="1" si="89"/>
        <v>0</v>
      </c>
      <c r="BB52" s="427">
        <f t="shared" ca="1" si="92"/>
        <v>0</v>
      </c>
      <c r="BC52" s="427">
        <f t="shared" ca="1" si="93"/>
        <v>0</v>
      </c>
      <c r="BD52" s="427">
        <f t="shared" ca="1" si="94"/>
        <v>0</v>
      </c>
      <c r="BE52" s="427">
        <f t="shared" ca="1" si="95"/>
        <v>0</v>
      </c>
      <c r="BF52" s="427">
        <f t="shared" ca="1" si="96"/>
        <v>0</v>
      </c>
      <c r="BG52" s="427">
        <f t="shared" ca="1" si="97"/>
        <v>0</v>
      </c>
      <c r="BH52" s="434"/>
      <c r="BI52" s="427">
        <f t="shared" si="90"/>
        <v>0</v>
      </c>
      <c r="BJ52" s="427">
        <f t="shared" si="98"/>
        <v>0</v>
      </c>
      <c r="BK52" s="427">
        <f t="shared" si="99"/>
        <v>0</v>
      </c>
      <c r="BL52" s="427">
        <f t="shared" si="100"/>
        <v>0</v>
      </c>
      <c r="BM52" s="427">
        <f t="shared" si="101"/>
        <v>0</v>
      </c>
      <c r="BN52" s="427">
        <f t="shared" si="102"/>
        <v>0</v>
      </c>
      <c r="BO52" s="427">
        <f t="shared" si="103"/>
        <v>0</v>
      </c>
      <c r="BP52" s="428">
        <f t="shared" si="72"/>
        <v>67</v>
      </c>
      <c r="BQ52" s="327">
        <f t="shared" ca="1" si="91"/>
        <v>0</v>
      </c>
      <c r="BR52" s="327">
        <f t="shared" ca="1" si="73"/>
        <v>0</v>
      </c>
      <c r="BS52" s="327">
        <f t="shared" ca="1" si="74"/>
        <v>0</v>
      </c>
      <c r="BT52" s="327">
        <f t="shared" ca="1" si="75"/>
        <v>0</v>
      </c>
      <c r="BU52" s="327">
        <f t="shared" ca="1" si="76"/>
        <v>0</v>
      </c>
      <c r="BV52" s="327">
        <f t="shared" ca="1" si="77"/>
        <v>0</v>
      </c>
      <c r="BW52" s="327">
        <f t="shared" ca="1" si="78"/>
        <v>0</v>
      </c>
      <c r="BY52" s="323" t="str">
        <f t="shared" si="79"/>
        <v>EV</v>
      </c>
      <c r="BZ52" s="323">
        <f t="shared" ca="1" si="120"/>
        <v>208</v>
      </c>
      <c r="CA52" s="323">
        <f t="shared" ca="1" si="121"/>
        <v>0</v>
      </c>
      <c r="CB52" s="323">
        <f t="shared" ca="1" si="122"/>
        <v>1</v>
      </c>
      <c r="CC52" s="323">
        <f t="shared" ca="1" si="123"/>
        <v>0</v>
      </c>
      <c r="CD52" s="323">
        <f t="shared" ca="1" si="124"/>
        <v>1</v>
      </c>
      <c r="CE52" s="323">
        <f t="shared" ca="1" si="125"/>
        <v>0</v>
      </c>
      <c r="CF52" s="323">
        <f t="shared" ca="1" si="126"/>
        <v>0</v>
      </c>
      <c r="CG52" s="323">
        <f t="shared" ca="1" si="127"/>
        <v>3</v>
      </c>
      <c r="CI52" s="327">
        <f t="shared" ca="1" si="80"/>
        <v>0</v>
      </c>
      <c r="CJ52" s="327">
        <f t="shared" ca="1" si="81"/>
        <v>0.05</v>
      </c>
      <c r="CK52" s="327">
        <f t="shared" ca="1" si="82"/>
        <v>0</v>
      </c>
      <c r="CL52" s="327">
        <f t="shared" ca="1" si="83"/>
        <v>0.1</v>
      </c>
      <c r="CM52" s="327">
        <f t="shared" ca="1" si="84"/>
        <v>0</v>
      </c>
      <c r="CN52" s="327">
        <f t="shared" ca="1" si="85"/>
        <v>0</v>
      </c>
      <c r="CO52" s="327">
        <f t="shared" ca="1" si="86"/>
        <v>0.34285714285714286</v>
      </c>
      <c r="CP52" s="328">
        <f t="shared" si="87"/>
        <v>67</v>
      </c>
      <c r="CQ52" s="327">
        <f t="shared" ca="1" si="128"/>
        <v>0</v>
      </c>
      <c r="CR52" s="327">
        <f t="shared" ca="1" si="129"/>
        <v>1.6666666666666666E-2</v>
      </c>
      <c r="CS52" s="327">
        <f t="shared" ca="1" si="130"/>
        <v>0</v>
      </c>
      <c r="CT52" s="327">
        <f t="shared" ca="1" si="131"/>
        <v>8.3333333333333332E-3</v>
      </c>
      <c r="CU52" s="327">
        <f t="shared" ca="1" si="132"/>
        <v>0</v>
      </c>
      <c r="CV52" s="327">
        <f t="shared" ca="1" si="133"/>
        <v>0</v>
      </c>
      <c r="CW52" s="327">
        <f t="shared" ca="1" si="134"/>
        <v>2.8571428571428571E-2</v>
      </c>
      <c r="CY52" s="332"/>
      <c r="CZ52" s="332"/>
      <c r="DA52" s="332"/>
      <c r="DB52" s="332"/>
      <c r="DC52" s="332"/>
      <c r="DD52" s="332"/>
      <c r="DE52" s="332"/>
      <c r="DF52" s="417"/>
      <c r="DG52" s="417"/>
    </row>
    <row r="53" spans="1:111" s="329" customFormat="1" ht="58" x14ac:dyDescent="0.35">
      <c r="A53" s="299"/>
      <c r="B53" s="22" t="s">
        <v>480</v>
      </c>
      <c r="C53" s="22" t="s">
        <v>467</v>
      </c>
      <c r="D53" s="22" t="s">
        <v>481</v>
      </c>
      <c r="E53" s="411">
        <v>2</v>
      </c>
      <c r="F53" s="412">
        <v>1</v>
      </c>
      <c r="G53" s="411">
        <v>0</v>
      </c>
      <c r="H53" s="406">
        <f t="shared" si="88"/>
        <v>0</v>
      </c>
      <c r="I53" s="415" t="str">
        <f>IF(AND(O53=1,OR(E53="",E53&lt;0,E53&gt;W53,AND(H53&gt;0,OR(G53="",G53&lt;0,G53&gt;W53)),F53&gt;1,F53&lt;0)),_general!$A$83,"")</f>
        <v/>
      </c>
      <c r="J53" s="110" t="s">
        <v>482</v>
      </c>
      <c r="K53" s="110" t="s">
        <v>483</v>
      </c>
      <c r="L53" s="110" t="s">
        <v>484</v>
      </c>
      <c r="M53" s="110" t="s">
        <v>485</v>
      </c>
      <c r="N53" s="110"/>
      <c r="O53" s="48">
        <v>1</v>
      </c>
      <c r="P53" s="111"/>
      <c r="Q53" s="111"/>
      <c r="R53" s="142" t="s">
        <v>978</v>
      </c>
      <c r="S53" s="142">
        <v>1</v>
      </c>
      <c r="T53" s="142">
        <f t="shared" si="116"/>
        <v>1</v>
      </c>
      <c r="U53" s="323">
        <f t="shared" si="117"/>
        <v>2</v>
      </c>
      <c r="V53" s="323">
        <f t="shared" si="54"/>
        <v>0</v>
      </c>
      <c r="W53" s="323">
        <f t="shared" si="118"/>
        <v>3</v>
      </c>
      <c r="X53" s="323">
        <f t="shared" si="55"/>
        <v>3</v>
      </c>
      <c r="Y53" s="323" t="str">
        <f>VLOOKUP($B53,overview_of_services!$B$2:$T$123,$Y$2,FALSE)</f>
        <v>MC</v>
      </c>
      <c r="Z53" s="323">
        <f t="shared" ca="1" si="119"/>
        <v>38</v>
      </c>
      <c r="AA53" s="323">
        <f t="shared" ca="1" si="189"/>
        <v>2</v>
      </c>
      <c r="AB53" s="323">
        <f t="shared" ca="1" si="189"/>
        <v>1</v>
      </c>
      <c r="AC53" s="323">
        <f t="shared" ca="1" si="189"/>
        <v>2</v>
      </c>
      <c r="AD53" s="323">
        <f t="shared" ca="1" si="189"/>
        <v>2</v>
      </c>
      <c r="AE53" s="323">
        <f t="shared" ca="1" si="189"/>
        <v>1</v>
      </c>
      <c r="AF53" s="323">
        <f t="shared" ca="1" si="189"/>
        <v>0</v>
      </c>
      <c r="AG53" s="323">
        <f t="shared" ca="1" si="189"/>
        <v>0</v>
      </c>
      <c r="AH53" s="323">
        <f t="shared" ca="1" si="57"/>
        <v>36</v>
      </c>
      <c r="AI53" s="323">
        <f t="shared" ca="1" si="135"/>
        <v>0</v>
      </c>
      <c r="AJ53" s="323">
        <f t="shared" ca="1" si="135"/>
        <v>0</v>
      </c>
      <c r="AK53" s="323">
        <f t="shared" ca="1" si="135"/>
        <v>0</v>
      </c>
      <c r="AL53" s="323">
        <f t="shared" ca="1" si="135"/>
        <v>0</v>
      </c>
      <c r="AM53" s="323">
        <f t="shared" ca="1" si="135"/>
        <v>0</v>
      </c>
      <c r="AN53" s="323">
        <f t="shared" ca="1" si="135"/>
        <v>0</v>
      </c>
      <c r="AO53" s="323">
        <f t="shared" ca="1" si="135"/>
        <v>0</v>
      </c>
      <c r="AP53" s="324"/>
      <c r="AQ53" s="324" t="s">
        <v>973</v>
      </c>
      <c r="AR53" s="325">
        <f>VLOOKUP(Y53,_general!$A$65:$B$73,2,FALSE)+$AR$4</f>
        <v>62</v>
      </c>
      <c r="AS53" s="326">
        <f t="shared" ca="1" si="136"/>
        <v>0.2</v>
      </c>
      <c r="AT53" s="326">
        <f t="shared" ca="1" si="136"/>
        <v>0.2</v>
      </c>
      <c r="AU53" s="326">
        <f t="shared" ca="1" si="136"/>
        <v>0.2</v>
      </c>
      <c r="AV53" s="326">
        <f t="shared" ca="1" si="136"/>
        <v>0.2</v>
      </c>
      <c r="AW53" s="326">
        <f t="shared" ca="1" si="136"/>
        <v>0.2</v>
      </c>
      <c r="AX53" s="326">
        <f t="shared" ca="1" si="136"/>
        <v>0.2</v>
      </c>
      <c r="AY53" s="326">
        <f t="shared" ca="1" si="136"/>
        <v>0.2</v>
      </c>
      <c r="AZ53" s="429"/>
      <c r="BA53" s="427">
        <f t="shared" ca="1" si="89"/>
        <v>0.4</v>
      </c>
      <c r="BB53" s="427">
        <f t="shared" ca="1" si="92"/>
        <v>0.2</v>
      </c>
      <c r="BC53" s="427">
        <f t="shared" ca="1" si="93"/>
        <v>0.4</v>
      </c>
      <c r="BD53" s="427">
        <f t="shared" ca="1" si="94"/>
        <v>0.4</v>
      </c>
      <c r="BE53" s="427">
        <f t="shared" ca="1" si="95"/>
        <v>0.2</v>
      </c>
      <c r="BF53" s="427">
        <f t="shared" ca="1" si="96"/>
        <v>0</v>
      </c>
      <c r="BG53" s="427">
        <f t="shared" ca="1" si="97"/>
        <v>0</v>
      </c>
      <c r="BH53" s="434"/>
      <c r="BI53" s="427">
        <f t="shared" si="90"/>
        <v>0</v>
      </c>
      <c r="BJ53" s="427">
        <f t="shared" si="98"/>
        <v>0</v>
      </c>
      <c r="BK53" s="427">
        <f t="shared" si="99"/>
        <v>0</v>
      </c>
      <c r="BL53" s="427">
        <f t="shared" si="100"/>
        <v>0</v>
      </c>
      <c r="BM53" s="427">
        <f t="shared" si="101"/>
        <v>0</v>
      </c>
      <c r="BN53" s="427">
        <f t="shared" si="102"/>
        <v>0</v>
      </c>
      <c r="BO53" s="427">
        <f t="shared" si="103"/>
        <v>0</v>
      </c>
      <c r="BP53" s="428">
        <f t="shared" si="72"/>
        <v>67</v>
      </c>
      <c r="BQ53" s="327">
        <f t="shared" ca="1" si="91"/>
        <v>6.6666666666666666E-2</v>
      </c>
      <c r="BR53" s="327">
        <f t="shared" ca="1" si="73"/>
        <v>6.6666666666666666E-2</v>
      </c>
      <c r="BS53" s="327">
        <f t="shared" ca="1" si="74"/>
        <v>3.3333333333333333E-2</v>
      </c>
      <c r="BT53" s="327">
        <f t="shared" ca="1" si="75"/>
        <v>3.3333333333333333E-2</v>
      </c>
      <c r="BU53" s="327">
        <f t="shared" ca="1" si="76"/>
        <v>1.6666666666666666E-2</v>
      </c>
      <c r="BV53" s="327">
        <f t="shared" ca="1" si="77"/>
        <v>0</v>
      </c>
      <c r="BW53" s="327">
        <f t="shared" ca="1" si="78"/>
        <v>0</v>
      </c>
      <c r="BY53" s="323" t="str">
        <f t="shared" si="79"/>
        <v>MC</v>
      </c>
      <c r="BZ53" s="323">
        <f t="shared" ca="1" si="120"/>
        <v>39</v>
      </c>
      <c r="CA53" s="323">
        <f t="shared" ca="1" si="121"/>
        <v>3</v>
      </c>
      <c r="CB53" s="323">
        <f t="shared" ca="1" si="122"/>
        <v>1</v>
      </c>
      <c r="CC53" s="323">
        <f t="shared" ca="1" si="123"/>
        <v>2</v>
      </c>
      <c r="CD53" s="323">
        <f t="shared" ca="1" si="124"/>
        <v>3</v>
      </c>
      <c r="CE53" s="323">
        <f t="shared" ca="1" si="125"/>
        <v>1</v>
      </c>
      <c r="CF53" s="323">
        <f t="shared" ca="1" si="126"/>
        <v>0</v>
      </c>
      <c r="CG53" s="323">
        <f t="shared" ca="1" si="127"/>
        <v>1</v>
      </c>
      <c r="CI53" s="327">
        <f t="shared" ca="1" si="80"/>
        <v>0.60000000000000009</v>
      </c>
      <c r="CJ53" s="327">
        <f t="shared" ca="1" si="81"/>
        <v>0.2</v>
      </c>
      <c r="CK53" s="327">
        <f t="shared" ca="1" si="82"/>
        <v>0.4</v>
      </c>
      <c r="CL53" s="327">
        <f t="shared" ca="1" si="83"/>
        <v>0.60000000000000009</v>
      </c>
      <c r="CM53" s="327">
        <f t="shared" ca="1" si="84"/>
        <v>0.2</v>
      </c>
      <c r="CN53" s="327">
        <f t="shared" ca="1" si="85"/>
        <v>0</v>
      </c>
      <c r="CO53" s="327">
        <f t="shared" ca="1" si="86"/>
        <v>0.2</v>
      </c>
      <c r="CP53" s="328">
        <f t="shared" si="87"/>
        <v>67</v>
      </c>
      <c r="CQ53" s="327">
        <f t="shared" ca="1" si="128"/>
        <v>0.1</v>
      </c>
      <c r="CR53" s="327">
        <f t="shared" ca="1" si="129"/>
        <v>6.6666666666666666E-2</v>
      </c>
      <c r="CS53" s="327">
        <f t="shared" ca="1" si="130"/>
        <v>3.3333333333333333E-2</v>
      </c>
      <c r="CT53" s="327">
        <f t="shared" ca="1" si="131"/>
        <v>0.05</v>
      </c>
      <c r="CU53" s="327">
        <f t="shared" ca="1" si="132"/>
        <v>1.6666666666666666E-2</v>
      </c>
      <c r="CV53" s="327">
        <f t="shared" ca="1" si="133"/>
        <v>0</v>
      </c>
      <c r="CW53" s="327">
        <f t="shared" ca="1" si="134"/>
        <v>1.6666666666666666E-2</v>
      </c>
      <c r="DF53" s="417"/>
      <c r="DG53" s="417"/>
    </row>
    <row r="54" spans="1:111" s="329" customFormat="1" ht="50.4" customHeight="1" x14ac:dyDescent="0.35">
      <c r="A54" s="307" t="s">
        <v>316</v>
      </c>
      <c r="B54" s="22" t="s">
        <v>488</v>
      </c>
      <c r="C54" s="22" t="s">
        <v>489</v>
      </c>
      <c r="D54" s="22" t="s">
        <v>490</v>
      </c>
      <c r="E54" s="411">
        <v>1</v>
      </c>
      <c r="F54" s="412">
        <v>1</v>
      </c>
      <c r="G54" s="411">
        <v>0</v>
      </c>
      <c r="H54" s="406">
        <f t="shared" si="88"/>
        <v>0</v>
      </c>
      <c r="I54" s="415" t="str">
        <f>IF(AND(O54=1,OR(E54="",E54&lt;0,E54&gt;W54,AND(H54&gt;0,OR(G54="",G54&lt;0,G54&gt;W54)),F54&gt;1,F54&lt;0)),_general!$A$83,"")</f>
        <v/>
      </c>
      <c r="J54" s="110" t="s">
        <v>491</v>
      </c>
      <c r="K54" s="110" t="s">
        <v>492</v>
      </c>
      <c r="L54" s="110" t="s">
        <v>493</v>
      </c>
      <c r="M54" s="110"/>
      <c r="N54" s="110"/>
      <c r="O54" s="48">
        <v>1</v>
      </c>
      <c r="P54" s="111"/>
      <c r="Q54" s="111"/>
      <c r="R54" s="142" t="s">
        <v>978</v>
      </c>
      <c r="S54" s="142">
        <v>1</v>
      </c>
      <c r="T54" s="142">
        <f t="shared" si="116"/>
        <v>1</v>
      </c>
      <c r="U54" s="323">
        <f t="shared" si="117"/>
        <v>1</v>
      </c>
      <c r="V54" s="323">
        <f t="shared" si="54"/>
        <v>0</v>
      </c>
      <c r="W54" s="323">
        <f t="shared" si="118"/>
        <v>2</v>
      </c>
      <c r="X54" s="323">
        <f t="shared" si="55"/>
        <v>2</v>
      </c>
      <c r="Y54" s="323" t="str">
        <f>VLOOKUP($B54,overview_of_services!$B$2:$T$123,$Y$2,FALSE)</f>
        <v>MC</v>
      </c>
      <c r="Z54" s="323">
        <f t="shared" ca="1" si="119"/>
        <v>51</v>
      </c>
      <c r="AA54" s="323">
        <f t="shared" ca="1" si="189"/>
        <v>0</v>
      </c>
      <c r="AB54" s="323">
        <f t="shared" ca="1" si="189"/>
        <v>0</v>
      </c>
      <c r="AC54" s="323">
        <f t="shared" ca="1" si="189"/>
        <v>0</v>
      </c>
      <c r="AD54" s="323">
        <f t="shared" ca="1" si="189"/>
        <v>2</v>
      </c>
      <c r="AE54" s="323">
        <f t="shared" ca="1" si="189"/>
        <v>2</v>
      </c>
      <c r="AF54" s="323">
        <f t="shared" ca="1" si="189"/>
        <v>2</v>
      </c>
      <c r="AG54" s="323">
        <f t="shared" ca="1" si="189"/>
        <v>2</v>
      </c>
      <c r="AH54" s="323">
        <f t="shared" ca="1" si="57"/>
        <v>50</v>
      </c>
      <c r="AI54" s="323">
        <f t="shared" ca="1" si="135"/>
        <v>0</v>
      </c>
      <c r="AJ54" s="323">
        <f t="shared" ca="1" si="135"/>
        <v>0</v>
      </c>
      <c r="AK54" s="323">
        <f t="shared" ca="1" si="135"/>
        <v>0</v>
      </c>
      <c r="AL54" s="323">
        <f t="shared" ca="1" si="135"/>
        <v>0</v>
      </c>
      <c r="AM54" s="323">
        <f t="shared" ca="1" si="135"/>
        <v>0</v>
      </c>
      <c r="AN54" s="323">
        <f t="shared" ca="1" si="135"/>
        <v>0</v>
      </c>
      <c r="AO54" s="323">
        <f t="shared" ca="1" si="135"/>
        <v>0</v>
      </c>
      <c r="AP54" s="324"/>
      <c r="AQ54" s="324" t="s">
        <v>973</v>
      </c>
      <c r="AR54" s="325">
        <f>VLOOKUP(Y54,_general!$A$65:$B$73,2,FALSE)+$AR$4</f>
        <v>62</v>
      </c>
      <c r="AS54" s="326">
        <f t="shared" ca="1" si="136"/>
        <v>0.2</v>
      </c>
      <c r="AT54" s="326">
        <f t="shared" ca="1" si="136"/>
        <v>0.2</v>
      </c>
      <c r="AU54" s="326">
        <f t="shared" ca="1" si="136"/>
        <v>0.2</v>
      </c>
      <c r="AV54" s="326">
        <f t="shared" ca="1" si="136"/>
        <v>0.2</v>
      </c>
      <c r="AW54" s="326">
        <f t="shared" ca="1" si="136"/>
        <v>0.2</v>
      </c>
      <c r="AX54" s="326">
        <f t="shared" ca="1" si="136"/>
        <v>0.2</v>
      </c>
      <c r="AY54" s="326">
        <f t="shared" ca="1" si="136"/>
        <v>0.2</v>
      </c>
      <c r="AZ54" s="429"/>
      <c r="BA54" s="427">
        <f t="shared" ca="1" si="89"/>
        <v>0</v>
      </c>
      <c r="BB54" s="427">
        <f t="shared" ca="1" si="92"/>
        <v>0</v>
      </c>
      <c r="BC54" s="427">
        <f t="shared" ca="1" si="93"/>
        <v>0</v>
      </c>
      <c r="BD54" s="427">
        <f t="shared" ca="1" si="94"/>
        <v>0.4</v>
      </c>
      <c r="BE54" s="427">
        <f t="shared" ca="1" si="95"/>
        <v>0.4</v>
      </c>
      <c r="BF54" s="427">
        <f t="shared" ca="1" si="96"/>
        <v>0.4</v>
      </c>
      <c r="BG54" s="427">
        <f t="shared" ca="1" si="97"/>
        <v>0.4</v>
      </c>
      <c r="BH54" s="434"/>
      <c r="BI54" s="427">
        <f t="shared" si="90"/>
        <v>0</v>
      </c>
      <c r="BJ54" s="427">
        <f t="shared" si="98"/>
        <v>0</v>
      </c>
      <c r="BK54" s="427">
        <f t="shared" si="99"/>
        <v>0</v>
      </c>
      <c r="BL54" s="427">
        <f t="shared" si="100"/>
        <v>0</v>
      </c>
      <c r="BM54" s="427">
        <f t="shared" si="101"/>
        <v>0</v>
      </c>
      <c r="BN54" s="427">
        <f t="shared" si="102"/>
        <v>0</v>
      </c>
      <c r="BO54" s="427">
        <f t="shared" si="103"/>
        <v>0</v>
      </c>
      <c r="BP54" s="428">
        <f t="shared" si="72"/>
        <v>67</v>
      </c>
      <c r="BQ54" s="327">
        <f t="shared" ca="1" si="91"/>
        <v>0</v>
      </c>
      <c r="BR54" s="327">
        <f t="shared" ca="1" si="73"/>
        <v>0</v>
      </c>
      <c r="BS54" s="327">
        <f t="shared" ca="1" si="74"/>
        <v>0</v>
      </c>
      <c r="BT54" s="327">
        <f t="shared" ca="1" si="75"/>
        <v>3.3333333333333333E-2</v>
      </c>
      <c r="BU54" s="327">
        <f t="shared" ca="1" si="76"/>
        <v>3.3333333333333333E-2</v>
      </c>
      <c r="BV54" s="327">
        <f t="shared" ca="1" si="77"/>
        <v>6.6666666666666666E-2</v>
      </c>
      <c r="BW54" s="327">
        <f t="shared" ca="1" si="78"/>
        <v>3.3333333333333333E-2</v>
      </c>
      <c r="BY54" s="323" t="str">
        <f t="shared" si="79"/>
        <v>MC</v>
      </c>
      <c r="BZ54" s="323">
        <f t="shared" ca="1" si="120"/>
        <v>52</v>
      </c>
      <c r="CA54" s="323">
        <f t="shared" ca="1" si="121"/>
        <v>0</v>
      </c>
      <c r="CB54" s="323">
        <f t="shared" ca="1" si="122"/>
        <v>0</v>
      </c>
      <c r="CC54" s="323">
        <f t="shared" ca="1" si="123"/>
        <v>0</v>
      </c>
      <c r="CD54" s="323">
        <f t="shared" ca="1" si="124"/>
        <v>2</v>
      </c>
      <c r="CE54" s="323">
        <f t="shared" ca="1" si="125"/>
        <v>2</v>
      </c>
      <c r="CF54" s="323">
        <f t="shared" ca="1" si="126"/>
        <v>3</v>
      </c>
      <c r="CG54" s="323">
        <f t="shared" ca="1" si="127"/>
        <v>2</v>
      </c>
      <c r="CI54" s="327">
        <f t="shared" ca="1" si="80"/>
        <v>0</v>
      </c>
      <c r="CJ54" s="327">
        <f t="shared" ca="1" si="81"/>
        <v>0</v>
      </c>
      <c r="CK54" s="327">
        <f t="shared" ca="1" si="82"/>
        <v>0</v>
      </c>
      <c r="CL54" s="327">
        <f t="shared" ca="1" si="83"/>
        <v>0.4</v>
      </c>
      <c r="CM54" s="327">
        <f t="shared" ca="1" si="84"/>
        <v>0.4</v>
      </c>
      <c r="CN54" s="327">
        <f t="shared" ca="1" si="85"/>
        <v>0.60000000000000009</v>
      </c>
      <c r="CO54" s="327">
        <f t="shared" ca="1" si="86"/>
        <v>0.4</v>
      </c>
      <c r="CP54" s="328">
        <f t="shared" si="87"/>
        <v>67</v>
      </c>
      <c r="CQ54" s="327">
        <f t="shared" ca="1" si="128"/>
        <v>0</v>
      </c>
      <c r="CR54" s="327">
        <f t="shared" ca="1" si="129"/>
        <v>0</v>
      </c>
      <c r="CS54" s="327">
        <f t="shared" ca="1" si="130"/>
        <v>0</v>
      </c>
      <c r="CT54" s="327">
        <f t="shared" ca="1" si="131"/>
        <v>3.3333333333333333E-2</v>
      </c>
      <c r="CU54" s="327">
        <f t="shared" ca="1" si="132"/>
        <v>3.3333333333333333E-2</v>
      </c>
      <c r="CV54" s="327">
        <f t="shared" ca="1" si="133"/>
        <v>0.1</v>
      </c>
      <c r="CW54" s="327">
        <f t="shared" ca="1" si="134"/>
        <v>3.3333333333333333E-2</v>
      </c>
      <c r="CY54" s="332"/>
      <c r="CZ54" s="332"/>
      <c r="DA54" s="332"/>
      <c r="DB54" s="332"/>
      <c r="DC54" s="332"/>
      <c r="DD54" s="332"/>
      <c r="DE54" s="332"/>
      <c r="DF54" s="417"/>
      <c r="DG54" s="417"/>
    </row>
    <row r="55" spans="1:111" s="329" customFormat="1" ht="43.5" x14ac:dyDescent="0.35">
      <c r="A55" s="307"/>
      <c r="B55" s="22" t="s">
        <v>506</v>
      </c>
      <c r="C55" s="22" t="s">
        <v>507</v>
      </c>
      <c r="D55" s="22" t="s">
        <v>508</v>
      </c>
      <c r="E55" s="411">
        <v>1</v>
      </c>
      <c r="F55" s="412">
        <v>1</v>
      </c>
      <c r="G55" s="411">
        <v>0</v>
      </c>
      <c r="H55" s="406">
        <f t="shared" si="88"/>
        <v>0</v>
      </c>
      <c r="I55" s="415" t="str">
        <f>IF(AND(O55=1,OR(E55="",E55&lt;0,E55&gt;W55,AND(H55&gt;0,OR(G55="",G55&lt;0,G55&gt;W55)),F55&gt;1,F55&lt;0)),_general!$A$83,"")</f>
        <v/>
      </c>
      <c r="J55" s="110" t="s">
        <v>81</v>
      </c>
      <c r="K55" s="110" t="s">
        <v>509</v>
      </c>
      <c r="L55" s="110" t="s">
        <v>510</v>
      </c>
      <c r="M55" s="110"/>
      <c r="N55" s="110"/>
      <c r="O55" s="48">
        <v>1</v>
      </c>
      <c r="P55" s="111"/>
      <c r="Q55" s="111"/>
      <c r="R55" s="142" t="s">
        <v>978</v>
      </c>
      <c r="S55" s="142">
        <v>1</v>
      </c>
      <c r="T55" s="142">
        <f t="shared" si="116"/>
        <v>1</v>
      </c>
      <c r="U55" s="323">
        <f t="shared" si="117"/>
        <v>1</v>
      </c>
      <c r="V55" s="323">
        <f t="shared" si="54"/>
        <v>0</v>
      </c>
      <c r="W55" s="323">
        <f t="shared" si="118"/>
        <v>2</v>
      </c>
      <c r="X55" s="323">
        <f t="shared" si="55"/>
        <v>2</v>
      </c>
      <c r="Y55" s="323" t="str">
        <f>VLOOKUP($B55,overview_of_services!$B$2:$T$123,$Y$2,FALSE)</f>
        <v>MC</v>
      </c>
      <c r="Z55" s="323">
        <f t="shared" ca="1" si="119"/>
        <v>107</v>
      </c>
      <c r="AA55" s="323">
        <f t="shared" ca="1" si="189"/>
        <v>1</v>
      </c>
      <c r="AB55" s="323">
        <f t="shared" ca="1" si="189"/>
        <v>0</v>
      </c>
      <c r="AC55" s="323">
        <f t="shared" ca="1" si="189"/>
        <v>1</v>
      </c>
      <c r="AD55" s="323">
        <f t="shared" ca="1" si="189"/>
        <v>1</v>
      </c>
      <c r="AE55" s="323">
        <f t="shared" ca="1" si="189"/>
        <v>0</v>
      </c>
      <c r="AF55" s="323">
        <f t="shared" ca="1" si="189"/>
        <v>1</v>
      </c>
      <c r="AG55" s="323">
        <f t="shared" ca="1" si="189"/>
        <v>0</v>
      </c>
      <c r="AH55" s="323">
        <f t="shared" ca="1" si="57"/>
        <v>106</v>
      </c>
      <c r="AI55" s="323">
        <f t="shared" ca="1" si="135"/>
        <v>0</v>
      </c>
      <c r="AJ55" s="323">
        <f t="shared" ca="1" si="135"/>
        <v>0</v>
      </c>
      <c r="AK55" s="323">
        <f t="shared" ca="1" si="135"/>
        <v>0</v>
      </c>
      <c r="AL55" s="323">
        <f t="shared" ca="1" si="135"/>
        <v>0</v>
      </c>
      <c r="AM55" s="323">
        <f t="shared" ca="1" si="135"/>
        <v>0</v>
      </c>
      <c r="AN55" s="323">
        <f t="shared" ca="1" si="135"/>
        <v>0</v>
      </c>
      <c r="AO55" s="323">
        <f t="shared" ca="1" si="135"/>
        <v>0</v>
      </c>
      <c r="AP55" s="324"/>
      <c r="AQ55" s="324" t="s">
        <v>973</v>
      </c>
      <c r="AR55" s="325">
        <f>VLOOKUP(Y55,_general!$A$65:$B$73,2,FALSE)+$AR$4</f>
        <v>62</v>
      </c>
      <c r="AS55" s="326">
        <f t="shared" ca="1" si="136"/>
        <v>0.2</v>
      </c>
      <c r="AT55" s="326">
        <f t="shared" ca="1" si="136"/>
        <v>0.2</v>
      </c>
      <c r="AU55" s="326">
        <f t="shared" ca="1" si="136"/>
        <v>0.2</v>
      </c>
      <c r="AV55" s="326">
        <f t="shared" ca="1" si="136"/>
        <v>0.2</v>
      </c>
      <c r="AW55" s="326">
        <f t="shared" ca="1" si="136"/>
        <v>0.2</v>
      </c>
      <c r="AX55" s="326">
        <f t="shared" ca="1" si="136"/>
        <v>0.2</v>
      </c>
      <c r="AY55" s="326">
        <f t="shared" ca="1" si="136"/>
        <v>0.2</v>
      </c>
      <c r="AZ55" s="429"/>
      <c r="BA55" s="427">
        <f t="shared" ca="1" si="89"/>
        <v>0.2</v>
      </c>
      <c r="BB55" s="427">
        <f t="shared" ca="1" si="92"/>
        <v>0</v>
      </c>
      <c r="BC55" s="427">
        <f t="shared" ca="1" si="93"/>
        <v>0.2</v>
      </c>
      <c r="BD55" s="427">
        <f t="shared" ca="1" si="94"/>
        <v>0.2</v>
      </c>
      <c r="BE55" s="427">
        <f t="shared" ca="1" si="95"/>
        <v>0</v>
      </c>
      <c r="BF55" s="427">
        <f t="shared" ca="1" si="96"/>
        <v>0.2</v>
      </c>
      <c r="BG55" s="427">
        <f t="shared" ca="1" si="97"/>
        <v>0</v>
      </c>
      <c r="BH55" s="434"/>
      <c r="BI55" s="427">
        <f t="shared" si="90"/>
        <v>0</v>
      </c>
      <c r="BJ55" s="427">
        <f t="shared" si="98"/>
        <v>0</v>
      </c>
      <c r="BK55" s="427">
        <f t="shared" si="99"/>
        <v>0</v>
      </c>
      <c r="BL55" s="427">
        <f t="shared" si="100"/>
        <v>0</v>
      </c>
      <c r="BM55" s="427">
        <f t="shared" si="101"/>
        <v>0</v>
      </c>
      <c r="BN55" s="427">
        <f t="shared" si="102"/>
        <v>0</v>
      </c>
      <c r="BO55" s="427">
        <f t="shared" si="103"/>
        <v>0</v>
      </c>
      <c r="BP55" s="428">
        <f t="shared" si="72"/>
        <v>67</v>
      </c>
      <c r="BQ55" s="327">
        <f t="shared" ca="1" si="91"/>
        <v>3.3333333333333333E-2</v>
      </c>
      <c r="BR55" s="327">
        <f t="shared" ca="1" si="73"/>
        <v>0</v>
      </c>
      <c r="BS55" s="327">
        <f t="shared" ca="1" si="74"/>
        <v>1.6666666666666666E-2</v>
      </c>
      <c r="BT55" s="327">
        <f t="shared" ca="1" si="75"/>
        <v>1.6666666666666666E-2</v>
      </c>
      <c r="BU55" s="327">
        <f t="shared" ca="1" si="76"/>
        <v>0</v>
      </c>
      <c r="BV55" s="327">
        <f t="shared" ca="1" si="77"/>
        <v>3.3333333333333333E-2</v>
      </c>
      <c r="BW55" s="327">
        <f t="shared" ca="1" si="78"/>
        <v>0</v>
      </c>
      <c r="BY55" s="323" t="str">
        <f t="shared" si="79"/>
        <v>MC</v>
      </c>
      <c r="BZ55" s="323">
        <f t="shared" ca="1" si="120"/>
        <v>108</v>
      </c>
      <c r="CA55" s="323">
        <f t="shared" ca="1" si="121"/>
        <v>1</v>
      </c>
      <c r="CB55" s="323">
        <f t="shared" ca="1" si="122"/>
        <v>0</v>
      </c>
      <c r="CC55" s="323">
        <f t="shared" ca="1" si="123"/>
        <v>1</v>
      </c>
      <c r="CD55" s="323">
        <f t="shared" ca="1" si="124"/>
        <v>1</v>
      </c>
      <c r="CE55" s="323">
        <f t="shared" ca="1" si="125"/>
        <v>0</v>
      </c>
      <c r="CF55" s="323">
        <f t="shared" ca="1" si="126"/>
        <v>2</v>
      </c>
      <c r="CG55" s="323">
        <f t="shared" ca="1" si="127"/>
        <v>0</v>
      </c>
      <c r="CI55" s="327">
        <f t="shared" ca="1" si="80"/>
        <v>0.2</v>
      </c>
      <c r="CJ55" s="327">
        <f t="shared" ca="1" si="81"/>
        <v>0</v>
      </c>
      <c r="CK55" s="327">
        <f t="shared" ca="1" si="82"/>
        <v>0.2</v>
      </c>
      <c r="CL55" s="327">
        <f t="shared" ca="1" si="83"/>
        <v>0.2</v>
      </c>
      <c r="CM55" s="327">
        <f t="shared" ca="1" si="84"/>
        <v>0</v>
      </c>
      <c r="CN55" s="327">
        <f t="shared" ca="1" si="85"/>
        <v>0.4</v>
      </c>
      <c r="CO55" s="327">
        <f t="shared" ca="1" si="86"/>
        <v>0</v>
      </c>
      <c r="CP55" s="328">
        <f t="shared" si="87"/>
        <v>67</v>
      </c>
      <c r="CQ55" s="327">
        <f t="shared" ca="1" si="128"/>
        <v>3.3333333333333333E-2</v>
      </c>
      <c r="CR55" s="327">
        <f t="shared" ca="1" si="129"/>
        <v>0</v>
      </c>
      <c r="CS55" s="327">
        <f t="shared" ca="1" si="130"/>
        <v>1.6666666666666666E-2</v>
      </c>
      <c r="CT55" s="327">
        <f t="shared" ca="1" si="131"/>
        <v>1.6666666666666666E-2</v>
      </c>
      <c r="CU55" s="327">
        <f t="shared" ca="1" si="132"/>
        <v>0</v>
      </c>
      <c r="CV55" s="327">
        <f t="shared" ca="1" si="133"/>
        <v>6.6666666666666666E-2</v>
      </c>
      <c r="CW55" s="327">
        <f t="shared" ca="1" si="134"/>
        <v>0</v>
      </c>
      <c r="CY55" s="332"/>
      <c r="CZ55" s="332"/>
      <c r="DA55" s="332"/>
      <c r="DB55" s="332"/>
      <c r="DC55" s="332"/>
      <c r="DD55" s="332"/>
      <c r="DE55" s="332"/>
      <c r="DF55" s="417"/>
      <c r="DG55" s="417"/>
    </row>
    <row r="56" spans="1:111" s="333" customFormat="1" ht="62.5" customHeight="1" x14ac:dyDescent="0.35">
      <c r="A56" s="308"/>
      <c r="B56" s="22" t="s">
        <v>529</v>
      </c>
      <c r="C56" s="22" t="s">
        <v>290</v>
      </c>
      <c r="D56" s="22" t="s">
        <v>530</v>
      </c>
      <c r="E56" s="411">
        <v>3</v>
      </c>
      <c r="F56" s="412">
        <v>1</v>
      </c>
      <c r="G56" s="411">
        <v>0</v>
      </c>
      <c r="H56" s="406">
        <f t="shared" si="88"/>
        <v>0</v>
      </c>
      <c r="I56" s="415" t="str">
        <f>IF(AND(O56=1,OR(E56="",E56&lt;0,E56&gt;W56,AND(H56&gt;0,OR(G56="",G56&lt;0,G56&gt;W56)),F56&gt;1,F56&lt;0)),_general!$A$83,"")</f>
        <v/>
      </c>
      <c r="J56" s="110" t="s">
        <v>81</v>
      </c>
      <c r="K56" s="110" t="s">
        <v>531</v>
      </c>
      <c r="L56" s="110" t="s">
        <v>532</v>
      </c>
      <c r="M56" s="110" t="s">
        <v>533</v>
      </c>
      <c r="N56" s="110"/>
      <c r="O56" s="48">
        <v>1</v>
      </c>
      <c r="P56" s="111"/>
      <c r="Q56" s="111"/>
      <c r="R56" s="142" t="s">
        <v>978</v>
      </c>
      <c r="S56" s="142">
        <v>1</v>
      </c>
      <c r="T56" s="142">
        <f t="shared" si="116"/>
        <v>1</v>
      </c>
      <c r="U56" s="323">
        <f t="shared" si="117"/>
        <v>3</v>
      </c>
      <c r="V56" s="323">
        <f t="shared" si="54"/>
        <v>0</v>
      </c>
      <c r="W56" s="323">
        <f t="shared" si="118"/>
        <v>3</v>
      </c>
      <c r="X56" s="323">
        <f t="shared" si="55"/>
        <v>3</v>
      </c>
      <c r="Y56" s="323" t="str">
        <f>VLOOKUP($B56,overview_of_services!$B$2:$T$123,$Y$2,FALSE)</f>
        <v>MC</v>
      </c>
      <c r="Z56" s="323">
        <f t="shared" ca="1" si="119"/>
        <v>165</v>
      </c>
      <c r="AA56" s="323">
        <f t="shared" ca="1" si="189"/>
        <v>1</v>
      </c>
      <c r="AB56" s="323">
        <f t="shared" ca="1" si="189"/>
        <v>0</v>
      </c>
      <c r="AC56" s="323">
        <f t="shared" ca="1" si="189"/>
        <v>0</v>
      </c>
      <c r="AD56" s="323">
        <f t="shared" ca="1" si="189"/>
        <v>2</v>
      </c>
      <c r="AE56" s="323">
        <f t="shared" ca="1" si="189"/>
        <v>0</v>
      </c>
      <c r="AF56" s="323">
        <f t="shared" ca="1" si="189"/>
        <v>1</v>
      </c>
      <c r="AG56" s="323">
        <f t="shared" ca="1" si="189"/>
        <v>3</v>
      </c>
      <c r="AH56" s="323">
        <f t="shared" ca="1" si="57"/>
        <v>162</v>
      </c>
      <c r="AI56" s="323">
        <f t="shared" ca="1" si="135"/>
        <v>0</v>
      </c>
      <c r="AJ56" s="323">
        <f t="shared" ca="1" si="135"/>
        <v>0</v>
      </c>
      <c r="AK56" s="323">
        <f t="shared" ca="1" si="135"/>
        <v>0</v>
      </c>
      <c r="AL56" s="323">
        <f t="shared" ca="1" si="135"/>
        <v>0</v>
      </c>
      <c r="AM56" s="323">
        <f t="shared" ca="1" si="135"/>
        <v>0</v>
      </c>
      <c r="AN56" s="323">
        <f t="shared" ca="1" si="135"/>
        <v>0</v>
      </c>
      <c r="AO56" s="323">
        <f t="shared" ca="1" si="135"/>
        <v>0</v>
      </c>
      <c r="AP56" s="324"/>
      <c r="AQ56" s="324" t="s">
        <v>973</v>
      </c>
      <c r="AR56" s="325">
        <f>VLOOKUP(Y56,_general!$A$65:$B$73,2,FALSE)+$AR$4</f>
        <v>62</v>
      </c>
      <c r="AS56" s="326">
        <f t="shared" ca="1" si="136"/>
        <v>0.2</v>
      </c>
      <c r="AT56" s="326">
        <f t="shared" ca="1" si="136"/>
        <v>0.2</v>
      </c>
      <c r="AU56" s="326">
        <f t="shared" ca="1" si="136"/>
        <v>0.2</v>
      </c>
      <c r="AV56" s="326">
        <f t="shared" ca="1" si="136"/>
        <v>0.2</v>
      </c>
      <c r="AW56" s="326">
        <f t="shared" ca="1" si="136"/>
        <v>0.2</v>
      </c>
      <c r="AX56" s="326">
        <f t="shared" ca="1" si="136"/>
        <v>0.2</v>
      </c>
      <c r="AY56" s="326">
        <f t="shared" ca="1" si="136"/>
        <v>0.2</v>
      </c>
      <c r="AZ56" s="429"/>
      <c r="BA56" s="427">
        <f t="shared" ca="1" si="89"/>
        <v>0.2</v>
      </c>
      <c r="BB56" s="427">
        <f t="shared" ca="1" si="92"/>
        <v>0</v>
      </c>
      <c r="BC56" s="427">
        <f t="shared" ca="1" si="93"/>
        <v>0</v>
      </c>
      <c r="BD56" s="427">
        <f t="shared" ca="1" si="94"/>
        <v>0.4</v>
      </c>
      <c r="BE56" s="427">
        <f t="shared" ca="1" si="95"/>
        <v>0</v>
      </c>
      <c r="BF56" s="427">
        <f t="shared" ca="1" si="96"/>
        <v>0.2</v>
      </c>
      <c r="BG56" s="427">
        <f t="shared" ca="1" si="97"/>
        <v>0.60000000000000009</v>
      </c>
      <c r="BH56" s="434"/>
      <c r="BI56" s="427">
        <f t="shared" si="90"/>
        <v>0</v>
      </c>
      <c r="BJ56" s="427">
        <f t="shared" si="98"/>
        <v>0</v>
      </c>
      <c r="BK56" s="427">
        <f t="shared" si="99"/>
        <v>0</v>
      </c>
      <c r="BL56" s="427">
        <f t="shared" si="100"/>
        <v>0</v>
      </c>
      <c r="BM56" s="427">
        <f t="shared" si="101"/>
        <v>0</v>
      </c>
      <c r="BN56" s="427">
        <f t="shared" si="102"/>
        <v>0</v>
      </c>
      <c r="BO56" s="427">
        <f t="shared" si="103"/>
        <v>0</v>
      </c>
      <c r="BP56" s="428">
        <f t="shared" si="72"/>
        <v>67</v>
      </c>
      <c r="BQ56" s="327">
        <f t="shared" ca="1" si="91"/>
        <v>3.3333333333333333E-2</v>
      </c>
      <c r="BR56" s="327">
        <f t="shared" ca="1" si="73"/>
        <v>0</v>
      </c>
      <c r="BS56" s="327">
        <f t="shared" ca="1" si="74"/>
        <v>0</v>
      </c>
      <c r="BT56" s="327">
        <f t="shared" ca="1" si="75"/>
        <v>3.3333333333333333E-2</v>
      </c>
      <c r="BU56" s="327">
        <f t="shared" ca="1" si="76"/>
        <v>0</v>
      </c>
      <c r="BV56" s="327">
        <f t="shared" ca="1" si="77"/>
        <v>3.3333333333333333E-2</v>
      </c>
      <c r="BW56" s="327">
        <f t="shared" ca="1" si="78"/>
        <v>0.05</v>
      </c>
      <c r="BY56" s="323" t="str">
        <f t="shared" si="79"/>
        <v>MC</v>
      </c>
      <c r="BZ56" s="323">
        <f t="shared" ca="1" si="120"/>
        <v>165</v>
      </c>
      <c r="CA56" s="323">
        <f t="shared" ca="1" si="121"/>
        <v>1</v>
      </c>
      <c r="CB56" s="323">
        <f t="shared" ca="1" si="122"/>
        <v>0</v>
      </c>
      <c r="CC56" s="323">
        <f t="shared" ca="1" si="123"/>
        <v>0</v>
      </c>
      <c r="CD56" s="323">
        <f t="shared" ca="1" si="124"/>
        <v>2</v>
      </c>
      <c r="CE56" s="323">
        <f t="shared" ca="1" si="125"/>
        <v>0</v>
      </c>
      <c r="CF56" s="323">
        <f t="shared" ca="1" si="126"/>
        <v>1</v>
      </c>
      <c r="CG56" s="323">
        <f t="shared" ca="1" si="127"/>
        <v>3</v>
      </c>
      <c r="CI56" s="327">
        <f t="shared" ca="1" si="80"/>
        <v>0.2</v>
      </c>
      <c r="CJ56" s="327">
        <f t="shared" ca="1" si="81"/>
        <v>0</v>
      </c>
      <c r="CK56" s="327">
        <f t="shared" ca="1" si="82"/>
        <v>0</v>
      </c>
      <c r="CL56" s="327">
        <f t="shared" ca="1" si="83"/>
        <v>0.4</v>
      </c>
      <c r="CM56" s="327">
        <f t="shared" ca="1" si="84"/>
        <v>0</v>
      </c>
      <c r="CN56" s="327">
        <f t="shared" ca="1" si="85"/>
        <v>0.2</v>
      </c>
      <c r="CO56" s="327">
        <f t="shared" ca="1" si="86"/>
        <v>0.60000000000000009</v>
      </c>
      <c r="CP56" s="328">
        <f t="shared" si="87"/>
        <v>67</v>
      </c>
      <c r="CQ56" s="327">
        <f t="shared" ca="1" si="128"/>
        <v>3.3333333333333333E-2</v>
      </c>
      <c r="CR56" s="327">
        <f t="shared" ca="1" si="129"/>
        <v>0</v>
      </c>
      <c r="CS56" s="327">
        <f t="shared" ca="1" si="130"/>
        <v>0</v>
      </c>
      <c r="CT56" s="327">
        <f t="shared" ca="1" si="131"/>
        <v>3.3333333333333333E-2</v>
      </c>
      <c r="CU56" s="327">
        <f t="shared" ca="1" si="132"/>
        <v>0</v>
      </c>
      <c r="CV56" s="327">
        <f t="shared" ca="1" si="133"/>
        <v>3.3333333333333333E-2</v>
      </c>
      <c r="CW56" s="327">
        <f t="shared" ca="1" si="134"/>
        <v>0.05</v>
      </c>
      <c r="CY56" s="334"/>
      <c r="CZ56" s="334"/>
      <c r="DA56" s="334"/>
      <c r="DB56" s="334"/>
      <c r="DC56" s="334"/>
      <c r="DD56" s="334"/>
      <c r="DE56" s="334"/>
      <c r="DF56" s="418"/>
      <c r="DG56" s="418"/>
    </row>
    <row r="57" spans="1:111" s="329" customFormat="1" ht="58" x14ac:dyDescent="0.35">
      <c r="A57" s="299"/>
      <c r="B57" s="22" t="s">
        <v>572</v>
      </c>
      <c r="C57" s="22" t="s">
        <v>573</v>
      </c>
      <c r="D57" s="22" t="s">
        <v>573</v>
      </c>
      <c r="E57" s="411">
        <v>0</v>
      </c>
      <c r="F57" s="412">
        <v>1</v>
      </c>
      <c r="G57" s="411">
        <v>0</v>
      </c>
      <c r="H57" s="406">
        <f t="shared" si="88"/>
        <v>0</v>
      </c>
      <c r="I57" s="415" t="str">
        <f>IF(AND(O57=1,OR(E57="",E57&lt;0,E57&gt;W57,AND(H57&gt;0,OR(G57="",G57&lt;0,G57&gt;W57)),F57&gt;1,F57&lt;0)),_general!$A$83,"")</f>
        <v/>
      </c>
      <c r="J57" s="110" t="s">
        <v>574</v>
      </c>
      <c r="K57" s="110" t="s">
        <v>575</v>
      </c>
      <c r="L57" s="110"/>
      <c r="M57" s="110"/>
      <c r="N57" s="110"/>
      <c r="O57" s="48">
        <v>1</v>
      </c>
      <c r="P57" s="111"/>
      <c r="Q57" s="111"/>
      <c r="R57" s="142" t="s">
        <v>978</v>
      </c>
      <c r="S57" s="142">
        <v>1</v>
      </c>
      <c r="T57" s="142">
        <f t="shared" si="116"/>
        <v>1</v>
      </c>
      <c r="U57" s="323">
        <f t="shared" si="117"/>
        <v>0</v>
      </c>
      <c r="V57" s="323">
        <f t="shared" si="54"/>
        <v>0</v>
      </c>
      <c r="W57" s="323">
        <f t="shared" si="118"/>
        <v>1</v>
      </c>
      <c r="X57" s="323">
        <f t="shared" si="55"/>
        <v>1</v>
      </c>
      <c r="Y57" s="323" t="str">
        <f>VLOOKUP($B57,overview_of_services!$B$2:$T$123,$Y$2,FALSE)</f>
        <v>MC</v>
      </c>
      <c r="Z57" s="323">
        <f t="shared" ca="1" si="119"/>
        <v>330</v>
      </c>
      <c r="AA57" s="323">
        <f t="shared" ca="1" si="189"/>
        <v>0</v>
      </c>
      <c r="AB57" s="323">
        <f t="shared" ca="1" si="189"/>
        <v>0</v>
      </c>
      <c r="AC57" s="323">
        <f t="shared" ca="1" si="189"/>
        <v>0</v>
      </c>
      <c r="AD57" s="323">
        <f t="shared" ca="1" si="189"/>
        <v>0</v>
      </c>
      <c r="AE57" s="323">
        <f t="shared" ca="1" si="189"/>
        <v>0</v>
      </c>
      <c r="AF57" s="323">
        <f t="shared" ca="1" si="189"/>
        <v>0</v>
      </c>
      <c r="AG57" s="323">
        <f t="shared" ca="1" si="189"/>
        <v>0</v>
      </c>
      <c r="AH57" s="323">
        <f t="shared" ca="1" si="57"/>
        <v>330</v>
      </c>
      <c r="AI57" s="323">
        <f t="shared" ca="1" si="135"/>
        <v>0</v>
      </c>
      <c r="AJ57" s="323">
        <f t="shared" ca="1" si="135"/>
        <v>0</v>
      </c>
      <c r="AK57" s="323">
        <f t="shared" ca="1" si="135"/>
        <v>0</v>
      </c>
      <c r="AL57" s="323">
        <f t="shared" ca="1" si="135"/>
        <v>0</v>
      </c>
      <c r="AM57" s="323">
        <f t="shared" ca="1" si="135"/>
        <v>0</v>
      </c>
      <c r="AN57" s="323">
        <f t="shared" ca="1" si="135"/>
        <v>0</v>
      </c>
      <c r="AO57" s="323">
        <f t="shared" ca="1" si="135"/>
        <v>0</v>
      </c>
      <c r="AP57" s="324"/>
      <c r="AQ57" s="324" t="s">
        <v>973</v>
      </c>
      <c r="AR57" s="325">
        <f>VLOOKUP(Y57,_general!$A$65:$B$73,2,FALSE)+$AR$4</f>
        <v>62</v>
      </c>
      <c r="AS57" s="326">
        <f t="shared" ca="1" si="136"/>
        <v>0.2</v>
      </c>
      <c r="AT57" s="326">
        <f t="shared" ca="1" si="136"/>
        <v>0.2</v>
      </c>
      <c r="AU57" s="326">
        <f t="shared" ca="1" si="136"/>
        <v>0.2</v>
      </c>
      <c r="AV57" s="326">
        <f t="shared" ca="1" si="136"/>
        <v>0.2</v>
      </c>
      <c r="AW57" s="326">
        <f t="shared" ca="1" si="136"/>
        <v>0.2</v>
      </c>
      <c r="AX57" s="326">
        <f t="shared" ca="1" si="136"/>
        <v>0.2</v>
      </c>
      <c r="AY57" s="326">
        <f t="shared" ca="1" si="136"/>
        <v>0.2</v>
      </c>
      <c r="AZ57" s="429"/>
      <c r="BA57" s="427">
        <f t="shared" ca="1" si="89"/>
        <v>0</v>
      </c>
      <c r="BB57" s="427">
        <f t="shared" ca="1" si="92"/>
        <v>0</v>
      </c>
      <c r="BC57" s="427">
        <f t="shared" ca="1" si="93"/>
        <v>0</v>
      </c>
      <c r="BD57" s="427">
        <f t="shared" ca="1" si="94"/>
        <v>0</v>
      </c>
      <c r="BE57" s="427">
        <f t="shared" ca="1" si="95"/>
        <v>0</v>
      </c>
      <c r="BF57" s="427">
        <f t="shared" ca="1" si="96"/>
        <v>0</v>
      </c>
      <c r="BG57" s="427">
        <f t="shared" ca="1" si="97"/>
        <v>0</v>
      </c>
      <c r="BH57" s="434"/>
      <c r="BI57" s="427">
        <f t="shared" si="90"/>
        <v>0</v>
      </c>
      <c r="BJ57" s="427">
        <f t="shared" si="98"/>
        <v>0</v>
      </c>
      <c r="BK57" s="427">
        <f t="shared" si="99"/>
        <v>0</v>
      </c>
      <c r="BL57" s="427">
        <f t="shared" si="100"/>
        <v>0</v>
      </c>
      <c r="BM57" s="427">
        <f t="shared" si="101"/>
        <v>0</v>
      </c>
      <c r="BN57" s="427">
        <f t="shared" si="102"/>
        <v>0</v>
      </c>
      <c r="BO57" s="427">
        <f t="shared" si="103"/>
        <v>0</v>
      </c>
      <c r="BP57" s="428">
        <f t="shared" si="72"/>
        <v>67</v>
      </c>
      <c r="BQ57" s="327">
        <f t="shared" ca="1" si="91"/>
        <v>0</v>
      </c>
      <c r="BR57" s="327">
        <f t="shared" ca="1" si="73"/>
        <v>0</v>
      </c>
      <c r="BS57" s="327">
        <f t="shared" ca="1" si="74"/>
        <v>0</v>
      </c>
      <c r="BT57" s="327">
        <f t="shared" ca="1" si="75"/>
        <v>0</v>
      </c>
      <c r="BU57" s="327">
        <f t="shared" ca="1" si="76"/>
        <v>0</v>
      </c>
      <c r="BV57" s="327">
        <f t="shared" ca="1" si="77"/>
        <v>0</v>
      </c>
      <c r="BW57" s="327">
        <f t="shared" ca="1" si="78"/>
        <v>0</v>
      </c>
      <c r="BY57" s="323" t="str">
        <f t="shared" si="79"/>
        <v>MC</v>
      </c>
      <c r="BZ57" s="323">
        <f t="shared" ca="1" si="120"/>
        <v>331</v>
      </c>
      <c r="CA57" s="323">
        <f t="shared" ca="1" si="121"/>
        <v>0</v>
      </c>
      <c r="CB57" s="323">
        <f t="shared" ca="1" si="122"/>
        <v>3</v>
      </c>
      <c r="CC57" s="323">
        <f t="shared" ca="1" si="123"/>
        <v>0</v>
      </c>
      <c r="CD57" s="323">
        <f t="shared" ca="1" si="124"/>
        <v>0</v>
      </c>
      <c r="CE57" s="323">
        <f t="shared" ca="1" si="125"/>
        <v>0</v>
      </c>
      <c r="CF57" s="323">
        <f t="shared" ca="1" si="126"/>
        <v>0</v>
      </c>
      <c r="CG57" s="323">
        <f t="shared" ca="1" si="127"/>
        <v>0</v>
      </c>
      <c r="CI57" s="327">
        <f t="shared" ca="1" si="80"/>
        <v>0</v>
      </c>
      <c r="CJ57" s="327">
        <f t="shared" ca="1" si="81"/>
        <v>0.60000000000000009</v>
      </c>
      <c r="CK57" s="327">
        <f t="shared" ca="1" si="82"/>
        <v>0</v>
      </c>
      <c r="CL57" s="327">
        <f t="shared" ca="1" si="83"/>
        <v>0</v>
      </c>
      <c r="CM57" s="327">
        <f t="shared" ca="1" si="84"/>
        <v>0</v>
      </c>
      <c r="CN57" s="327">
        <f t="shared" ca="1" si="85"/>
        <v>0</v>
      </c>
      <c r="CO57" s="327">
        <f t="shared" ca="1" si="86"/>
        <v>0</v>
      </c>
      <c r="CP57" s="328">
        <f t="shared" si="87"/>
        <v>67</v>
      </c>
      <c r="CQ57" s="327">
        <f t="shared" ca="1" si="128"/>
        <v>0</v>
      </c>
      <c r="CR57" s="327">
        <f t="shared" ca="1" si="129"/>
        <v>0.2</v>
      </c>
      <c r="CS57" s="327">
        <f t="shared" ca="1" si="130"/>
        <v>0</v>
      </c>
      <c r="CT57" s="327">
        <f t="shared" ca="1" si="131"/>
        <v>0</v>
      </c>
      <c r="CU57" s="327">
        <f t="shared" ca="1" si="132"/>
        <v>0</v>
      </c>
      <c r="CV57" s="327">
        <f t="shared" ca="1" si="133"/>
        <v>0</v>
      </c>
      <c r="CW57" s="327">
        <f t="shared" ca="1" si="134"/>
        <v>0</v>
      </c>
      <c r="DF57" s="417"/>
      <c r="DG57" s="417"/>
    </row>
    <row r="58" spans="1:111" s="329" customFormat="1" ht="43.5" x14ac:dyDescent="0.35">
      <c r="A58" s="309" t="s">
        <v>790</v>
      </c>
      <c r="B58" s="22" t="s">
        <v>591</v>
      </c>
      <c r="C58" s="22" t="s">
        <v>290</v>
      </c>
      <c r="D58" s="22" t="s">
        <v>592</v>
      </c>
      <c r="E58" s="411">
        <v>0</v>
      </c>
      <c r="F58" s="412">
        <v>1</v>
      </c>
      <c r="G58" s="411">
        <v>0</v>
      </c>
      <c r="H58" s="406">
        <f t="shared" si="88"/>
        <v>0</v>
      </c>
      <c r="I58" s="415" t="str">
        <f>IF(AND(O58=1,OR(E58="",E58&lt;0,E58&gt;W58,AND(H58&gt;0,OR(G58="",G58&lt;0,G58&gt;W58)),F58&gt;1,F58&lt;0)),_general!$A$83,"")</f>
        <v/>
      </c>
      <c r="J58" s="110" t="s">
        <v>81</v>
      </c>
      <c r="K58" s="110" t="s">
        <v>593</v>
      </c>
      <c r="L58" s="110" t="s">
        <v>594</v>
      </c>
      <c r="M58" s="110"/>
      <c r="N58" s="110"/>
      <c r="O58" s="48">
        <v>1</v>
      </c>
      <c r="P58" s="111"/>
      <c r="Q58" s="111"/>
      <c r="R58" s="142" t="s">
        <v>978</v>
      </c>
      <c r="S58" s="142">
        <v>1</v>
      </c>
      <c r="T58" s="142">
        <f t="shared" si="116"/>
        <v>1</v>
      </c>
      <c r="U58" s="323">
        <f t="shared" si="117"/>
        <v>0</v>
      </c>
      <c r="V58" s="323">
        <f t="shared" si="54"/>
        <v>0</v>
      </c>
      <c r="W58" s="323">
        <f t="shared" si="118"/>
        <v>2</v>
      </c>
      <c r="X58" s="323">
        <f t="shared" si="55"/>
        <v>2</v>
      </c>
      <c r="Y58" s="323" t="str">
        <f>VLOOKUP($B58,overview_of_services!$B$2:$T$123,$Y$2,FALSE)</f>
        <v>MC</v>
      </c>
      <c r="Z58" s="323">
        <f t="shared" ca="1" si="119"/>
        <v>372</v>
      </c>
      <c r="AA58" s="323">
        <f t="shared" ca="1" si="189"/>
        <v>0</v>
      </c>
      <c r="AB58" s="323">
        <f t="shared" ca="1" si="189"/>
        <v>0</v>
      </c>
      <c r="AC58" s="323">
        <f t="shared" ca="1" si="189"/>
        <v>0</v>
      </c>
      <c r="AD58" s="323">
        <f t="shared" ca="1" si="189"/>
        <v>0</v>
      </c>
      <c r="AE58" s="323">
        <f t="shared" ca="1" si="189"/>
        <v>0</v>
      </c>
      <c r="AF58" s="323">
        <f t="shared" ca="1" si="189"/>
        <v>0</v>
      </c>
      <c r="AG58" s="323">
        <f t="shared" ca="1" si="189"/>
        <v>0</v>
      </c>
      <c r="AH58" s="323">
        <f t="shared" ca="1" si="57"/>
        <v>372</v>
      </c>
      <c r="AI58" s="323">
        <f t="shared" ca="1" si="135"/>
        <v>0</v>
      </c>
      <c r="AJ58" s="323">
        <f t="shared" ca="1" si="135"/>
        <v>0</v>
      </c>
      <c r="AK58" s="323">
        <f t="shared" ca="1" si="135"/>
        <v>0</v>
      </c>
      <c r="AL58" s="323">
        <f t="shared" ca="1" si="135"/>
        <v>0</v>
      </c>
      <c r="AM58" s="323">
        <f t="shared" ca="1" si="135"/>
        <v>0</v>
      </c>
      <c r="AN58" s="323">
        <f t="shared" ca="1" si="135"/>
        <v>0</v>
      </c>
      <c r="AO58" s="323">
        <f t="shared" ca="1" si="135"/>
        <v>0</v>
      </c>
      <c r="AP58" s="324"/>
      <c r="AQ58" s="324" t="s">
        <v>973</v>
      </c>
      <c r="AR58" s="325">
        <f>VLOOKUP(Y58,_general!$A$65:$B$73,2,FALSE)+$AR$4</f>
        <v>62</v>
      </c>
      <c r="AS58" s="326">
        <f t="shared" ca="1" si="136"/>
        <v>0.2</v>
      </c>
      <c r="AT58" s="326">
        <f t="shared" ca="1" si="136"/>
        <v>0.2</v>
      </c>
      <c r="AU58" s="326">
        <f t="shared" ca="1" si="136"/>
        <v>0.2</v>
      </c>
      <c r="AV58" s="326">
        <f t="shared" ca="1" si="136"/>
        <v>0.2</v>
      </c>
      <c r="AW58" s="326">
        <f t="shared" ca="1" si="136"/>
        <v>0.2</v>
      </c>
      <c r="AX58" s="326">
        <f t="shared" ca="1" si="136"/>
        <v>0.2</v>
      </c>
      <c r="AY58" s="326">
        <f t="shared" ca="1" si="136"/>
        <v>0.2</v>
      </c>
      <c r="AZ58" s="429"/>
      <c r="BA58" s="427">
        <f t="shared" ca="1" si="89"/>
        <v>0</v>
      </c>
      <c r="BB58" s="427">
        <f t="shared" ca="1" si="92"/>
        <v>0</v>
      </c>
      <c r="BC58" s="427">
        <f t="shared" ca="1" si="93"/>
        <v>0</v>
      </c>
      <c r="BD58" s="427">
        <f t="shared" ca="1" si="94"/>
        <v>0</v>
      </c>
      <c r="BE58" s="427">
        <f t="shared" ca="1" si="95"/>
        <v>0</v>
      </c>
      <c r="BF58" s="427">
        <f t="shared" ca="1" si="96"/>
        <v>0</v>
      </c>
      <c r="BG58" s="427">
        <f t="shared" ca="1" si="97"/>
        <v>0</v>
      </c>
      <c r="BH58" s="434"/>
      <c r="BI58" s="427">
        <f t="shared" si="90"/>
        <v>0</v>
      </c>
      <c r="BJ58" s="427">
        <f t="shared" si="98"/>
        <v>0</v>
      </c>
      <c r="BK58" s="427">
        <f t="shared" si="99"/>
        <v>0</v>
      </c>
      <c r="BL58" s="427">
        <f t="shared" si="100"/>
        <v>0</v>
      </c>
      <c r="BM58" s="427">
        <f t="shared" si="101"/>
        <v>0</v>
      </c>
      <c r="BN58" s="427">
        <f t="shared" si="102"/>
        <v>0</v>
      </c>
      <c r="BO58" s="427">
        <f t="shared" si="103"/>
        <v>0</v>
      </c>
      <c r="BP58" s="428">
        <f t="shared" si="72"/>
        <v>67</v>
      </c>
      <c r="BQ58" s="327">
        <f t="shared" ca="1" si="91"/>
        <v>0</v>
      </c>
      <c r="BR58" s="327">
        <f t="shared" ca="1" si="73"/>
        <v>0</v>
      </c>
      <c r="BS58" s="327">
        <f t="shared" ca="1" si="74"/>
        <v>0</v>
      </c>
      <c r="BT58" s="327">
        <f t="shared" ca="1" si="75"/>
        <v>0</v>
      </c>
      <c r="BU58" s="327">
        <f t="shared" ca="1" si="76"/>
        <v>0</v>
      </c>
      <c r="BV58" s="327">
        <f t="shared" ca="1" si="77"/>
        <v>0</v>
      </c>
      <c r="BW58" s="327">
        <f t="shared" ca="1" si="78"/>
        <v>0</v>
      </c>
      <c r="BY58" s="323" t="str">
        <f t="shared" si="79"/>
        <v>MC</v>
      </c>
      <c r="BZ58" s="323">
        <f t="shared" ca="1" si="120"/>
        <v>374</v>
      </c>
      <c r="CA58" s="323">
        <f t="shared" ca="1" si="121"/>
        <v>0</v>
      </c>
      <c r="CB58" s="323">
        <f t="shared" ca="1" si="122"/>
        <v>1</v>
      </c>
      <c r="CC58" s="323">
        <f t="shared" ca="1" si="123"/>
        <v>0</v>
      </c>
      <c r="CD58" s="323">
        <f t="shared" ca="1" si="124"/>
        <v>0</v>
      </c>
      <c r="CE58" s="323">
        <f t="shared" ca="1" si="125"/>
        <v>0</v>
      </c>
      <c r="CF58" s="323">
        <f t="shared" ca="1" si="126"/>
        <v>1</v>
      </c>
      <c r="CG58" s="323">
        <f t="shared" ca="1" si="127"/>
        <v>3</v>
      </c>
      <c r="CI58" s="327">
        <f t="shared" ca="1" si="80"/>
        <v>0</v>
      </c>
      <c r="CJ58" s="327">
        <f t="shared" ca="1" si="81"/>
        <v>0.2</v>
      </c>
      <c r="CK58" s="327">
        <f t="shared" ca="1" si="82"/>
        <v>0</v>
      </c>
      <c r="CL58" s="327">
        <f t="shared" ca="1" si="83"/>
        <v>0</v>
      </c>
      <c r="CM58" s="327">
        <f t="shared" ca="1" si="84"/>
        <v>0</v>
      </c>
      <c r="CN58" s="327">
        <f t="shared" ca="1" si="85"/>
        <v>0.2</v>
      </c>
      <c r="CO58" s="327">
        <f t="shared" ca="1" si="86"/>
        <v>0.60000000000000009</v>
      </c>
      <c r="CP58" s="328">
        <f t="shared" si="87"/>
        <v>67</v>
      </c>
      <c r="CQ58" s="327">
        <f t="shared" ca="1" si="128"/>
        <v>0</v>
      </c>
      <c r="CR58" s="327">
        <f t="shared" ca="1" si="129"/>
        <v>6.6666666666666666E-2</v>
      </c>
      <c r="CS58" s="327">
        <f t="shared" ca="1" si="130"/>
        <v>0</v>
      </c>
      <c r="CT58" s="327">
        <f t="shared" ca="1" si="131"/>
        <v>0</v>
      </c>
      <c r="CU58" s="327">
        <f t="shared" ca="1" si="132"/>
        <v>0</v>
      </c>
      <c r="CV58" s="327">
        <f t="shared" ca="1" si="133"/>
        <v>3.3333333333333333E-2</v>
      </c>
      <c r="CW58" s="327">
        <f t="shared" ca="1" si="134"/>
        <v>0.05</v>
      </c>
      <c r="CY58" s="332"/>
      <c r="CZ58" s="332"/>
      <c r="DA58" s="332"/>
      <c r="DB58" s="332"/>
      <c r="DC58" s="332"/>
      <c r="DD58" s="332"/>
      <c r="DE58" s="332"/>
      <c r="DF58" s="417"/>
      <c r="DG58" s="417"/>
    </row>
    <row r="59" spans="1:111" s="343" customFormat="1" ht="44" thickBot="1" x14ac:dyDescent="0.4">
      <c r="A59" s="310"/>
      <c r="B59" s="311" t="s">
        <v>595</v>
      </c>
      <c r="C59" s="311" t="s">
        <v>596</v>
      </c>
      <c r="D59" s="311" t="s">
        <v>597</v>
      </c>
      <c r="E59" s="411">
        <v>0</v>
      </c>
      <c r="F59" s="412">
        <v>1</v>
      </c>
      <c r="G59" s="411">
        <v>0</v>
      </c>
      <c r="H59" s="406">
        <f t="shared" si="88"/>
        <v>0</v>
      </c>
      <c r="I59" s="415" t="str">
        <f>IF(AND(O59=1,OR(E59="",E59&lt;0,E59&gt;W59,AND(H59&gt;0,OR(G59="",G59&lt;0,G59&gt;W59)),F59&gt;1,F59&lt;0)),_general!$A$83,"")</f>
        <v/>
      </c>
      <c r="J59" s="312" t="s">
        <v>598</v>
      </c>
      <c r="K59" s="312" t="s">
        <v>599</v>
      </c>
      <c r="L59" s="312" t="s">
        <v>600</v>
      </c>
      <c r="M59" s="312" t="s">
        <v>601</v>
      </c>
      <c r="N59" s="312" t="s">
        <v>602</v>
      </c>
      <c r="O59" s="48">
        <v>1</v>
      </c>
      <c r="P59" s="313"/>
      <c r="Q59" s="313"/>
      <c r="R59" s="314" t="s">
        <v>978</v>
      </c>
      <c r="S59" s="314">
        <v>1</v>
      </c>
      <c r="T59" s="314">
        <f t="shared" si="116"/>
        <v>1</v>
      </c>
      <c r="U59" s="337">
        <f t="shared" si="117"/>
        <v>0</v>
      </c>
      <c r="V59" s="337">
        <f t="shared" si="54"/>
        <v>0</v>
      </c>
      <c r="W59" s="337">
        <f t="shared" si="118"/>
        <v>4</v>
      </c>
      <c r="X59" s="337">
        <f t="shared" si="55"/>
        <v>4</v>
      </c>
      <c r="Y59" s="337" t="str">
        <f>VLOOKUP($B59,overview_of_services!$B$2:$T$123,$Y$2,FALSE)</f>
        <v>MC</v>
      </c>
      <c r="Z59" s="337">
        <f t="shared" ca="1" si="119"/>
        <v>386</v>
      </c>
      <c r="AA59" s="337">
        <f t="shared" ca="1" si="189"/>
        <v>0</v>
      </c>
      <c r="AB59" s="337">
        <f t="shared" ca="1" si="189"/>
        <v>0</v>
      </c>
      <c r="AC59" s="337">
        <f t="shared" ca="1" si="189"/>
        <v>0</v>
      </c>
      <c r="AD59" s="337">
        <f t="shared" ca="1" si="189"/>
        <v>0</v>
      </c>
      <c r="AE59" s="337">
        <f t="shared" ca="1" si="189"/>
        <v>0</v>
      </c>
      <c r="AF59" s="337">
        <f t="shared" ca="1" si="189"/>
        <v>0</v>
      </c>
      <c r="AG59" s="337">
        <f t="shared" ca="1" si="189"/>
        <v>0</v>
      </c>
      <c r="AH59" s="337">
        <f t="shared" ca="1" si="57"/>
        <v>386</v>
      </c>
      <c r="AI59" s="337">
        <f t="shared" ca="1" si="135"/>
        <v>0</v>
      </c>
      <c r="AJ59" s="337">
        <f t="shared" ca="1" si="135"/>
        <v>0</v>
      </c>
      <c r="AK59" s="337">
        <f t="shared" ca="1" si="135"/>
        <v>0</v>
      </c>
      <c r="AL59" s="337">
        <f t="shared" ca="1" si="135"/>
        <v>0</v>
      </c>
      <c r="AM59" s="337">
        <f t="shared" ca="1" si="135"/>
        <v>0</v>
      </c>
      <c r="AN59" s="337">
        <f t="shared" ca="1" si="135"/>
        <v>0</v>
      </c>
      <c r="AO59" s="337">
        <f t="shared" ca="1" si="135"/>
        <v>0</v>
      </c>
      <c r="AP59" s="338"/>
      <c r="AQ59" s="338" t="s">
        <v>973</v>
      </c>
      <c r="AR59" s="339">
        <f>VLOOKUP(Y59,_general!$A$65:$B$73,2,FALSE)+$AR$4</f>
        <v>62</v>
      </c>
      <c r="AS59" s="340">
        <f t="shared" ca="1" si="136"/>
        <v>0.2</v>
      </c>
      <c r="AT59" s="340">
        <f t="shared" ca="1" si="136"/>
        <v>0.2</v>
      </c>
      <c r="AU59" s="340">
        <f t="shared" ca="1" si="136"/>
        <v>0.2</v>
      </c>
      <c r="AV59" s="340">
        <f t="shared" ca="1" si="136"/>
        <v>0.2</v>
      </c>
      <c r="AW59" s="340">
        <f t="shared" ca="1" si="136"/>
        <v>0.2</v>
      </c>
      <c r="AX59" s="340">
        <f t="shared" ca="1" si="136"/>
        <v>0.2</v>
      </c>
      <c r="AY59" s="340">
        <f t="shared" ca="1" si="136"/>
        <v>0.2</v>
      </c>
      <c r="AZ59" s="430"/>
      <c r="BA59" s="427">
        <f t="shared" ca="1" si="89"/>
        <v>0</v>
      </c>
      <c r="BB59" s="427">
        <f t="shared" ca="1" si="92"/>
        <v>0</v>
      </c>
      <c r="BC59" s="427">
        <f t="shared" ca="1" si="93"/>
        <v>0</v>
      </c>
      <c r="BD59" s="427">
        <f t="shared" ca="1" si="94"/>
        <v>0</v>
      </c>
      <c r="BE59" s="427">
        <f t="shared" ca="1" si="95"/>
        <v>0</v>
      </c>
      <c r="BF59" s="427">
        <f t="shared" ca="1" si="96"/>
        <v>0</v>
      </c>
      <c r="BG59" s="427">
        <f t="shared" ca="1" si="97"/>
        <v>0</v>
      </c>
      <c r="BH59" s="434"/>
      <c r="BI59" s="427">
        <f t="shared" si="90"/>
        <v>0</v>
      </c>
      <c r="BJ59" s="427">
        <f t="shared" si="98"/>
        <v>0</v>
      </c>
      <c r="BK59" s="427">
        <f t="shared" si="99"/>
        <v>0</v>
      </c>
      <c r="BL59" s="427">
        <f t="shared" si="100"/>
        <v>0</v>
      </c>
      <c r="BM59" s="427">
        <f t="shared" si="101"/>
        <v>0</v>
      </c>
      <c r="BN59" s="427">
        <f t="shared" si="102"/>
        <v>0</v>
      </c>
      <c r="BO59" s="427">
        <f t="shared" si="103"/>
        <v>0</v>
      </c>
      <c r="BP59" s="428">
        <f t="shared" si="72"/>
        <v>67</v>
      </c>
      <c r="BQ59" s="341">
        <f t="shared" ca="1" si="91"/>
        <v>0</v>
      </c>
      <c r="BR59" s="341">
        <f t="shared" ca="1" si="73"/>
        <v>0</v>
      </c>
      <c r="BS59" s="341">
        <f t="shared" ca="1" si="74"/>
        <v>0</v>
      </c>
      <c r="BT59" s="341">
        <f t="shared" ca="1" si="75"/>
        <v>0</v>
      </c>
      <c r="BU59" s="341">
        <f t="shared" ca="1" si="76"/>
        <v>0</v>
      </c>
      <c r="BV59" s="341">
        <f t="shared" ca="1" si="77"/>
        <v>0</v>
      </c>
      <c r="BW59" s="341">
        <f t="shared" ca="1" si="78"/>
        <v>0</v>
      </c>
      <c r="BY59" s="337" t="str">
        <f t="shared" si="79"/>
        <v>MC</v>
      </c>
      <c r="BZ59" s="337">
        <f t="shared" ca="1" si="120"/>
        <v>390</v>
      </c>
      <c r="CA59" s="337">
        <f t="shared" ca="1" si="121"/>
        <v>0</v>
      </c>
      <c r="CB59" s="337">
        <f t="shared" ca="1" si="122"/>
        <v>2</v>
      </c>
      <c r="CC59" s="337">
        <f t="shared" ca="1" si="123"/>
        <v>0</v>
      </c>
      <c r="CD59" s="337">
        <f t="shared" ca="1" si="124"/>
        <v>3</v>
      </c>
      <c r="CE59" s="337">
        <f t="shared" ca="1" si="125"/>
        <v>0</v>
      </c>
      <c r="CF59" s="337">
        <f t="shared" ca="1" si="126"/>
        <v>2</v>
      </c>
      <c r="CG59" s="337">
        <f t="shared" ca="1" si="127"/>
        <v>2</v>
      </c>
      <c r="CI59" s="341">
        <f t="shared" ca="1" si="80"/>
        <v>0</v>
      </c>
      <c r="CJ59" s="341">
        <f t="shared" ca="1" si="81"/>
        <v>0.4</v>
      </c>
      <c r="CK59" s="341">
        <f t="shared" ca="1" si="82"/>
        <v>0</v>
      </c>
      <c r="CL59" s="341">
        <f t="shared" ca="1" si="83"/>
        <v>0.60000000000000009</v>
      </c>
      <c r="CM59" s="341">
        <f t="shared" ca="1" si="84"/>
        <v>0</v>
      </c>
      <c r="CN59" s="341">
        <f t="shared" ca="1" si="85"/>
        <v>0.4</v>
      </c>
      <c r="CO59" s="341">
        <f t="shared" ca="1" si="86"/>
        <v>0.4</v>
      </c>
      <c r="CP59" s="342">
        <f t="shared" si="87"/>
        <v>67</v>
      </c>
      <c r="CQ59" s="341">
        <f t="shared" ca="1" si="128"/>
        <v>0</v>
      </c>
      <c r="CR59" s="341">
        <f t="shared" ca="1" si="129"/>
        <v>0.13333333333333333</v>
      </c>
      <c r="CS59" s="341">
        <f t="shared" ca="1" si="130"/>
        <v>0</v>
      </c>
      <c r="CT59" s="341">
        <f t="shared" ca="1" si="131"/>
        <v>0.05</v>
      </c>
      <c r="CU59" s="341">
        <f t="shared" ca="1" si="132"/>
        <v>0</v>
      </c>
      <c r="CV59" s="341">
        <f t="shared" ca="1" si="133"/>
        <v>6.6666666666666666E-2</v>
      </c>
      <c r="CW59" s="341">
        <f t="shared" ca="1" si="134"/>
        <v>3.3333333333333333E-2</v>
      </c>
      <c r="CY59" s="344"/>
      <c r="CZ59" s="344"/>
      <c r="DA59" s="344"/>
      <c r="DB59" s="344"/>
      <c r="DC59" s="344"/>
      <c r="DD59" s="344"/>
      <c r="DE59" s="344"/>
      <c r="DF59" s="419"/>
      <c r="DG59" s="419"/>
    </row>
    <row r="60" spans="1:111" x14ac:dyDescent="0.35">
      <c r="P60" s="235"/>
      <c r="BP60" s="398"/>
    </row>
    <row r="61" spans="1:111" x14ac:dyDescent="0.35">
      <c r="P61" s="235"/>
    </row>
  </sheetData>
  <sheetProtection algorithmName="SHA-512" hashValue="01jlbh3uT4jbUjyCNcwfD3SpY/2n4GSlJ6FbaK1e+QG9vGJYCejsnBBitJDmWJSk0w+C38Fx19M+Glwzl7rn4g==" saltValue="qKAMudpmTrLDySSrhNCxgQ==" spinCount="100000" sheet="1" objects="1" scenarios="1"/>
  <mergeCells count="6">
    <mergeCell ref="CY1:DE1"/>
    <mergeCell ref="R1:T2"/>
    <mergeCell ref="BQ1:BW1"/>
    <mergeCell ref="CA1:CG1"/>
    <mergeCell ref="CI1:CO1"/>
    <mergeCell ref="CQ1:CW1"/>
  </mergeCells>
  <conditionalFormatting sqref="W45:X48 W50:X59 W6:X43">
    <cfRule type="expression" dxfId="900" priority="85">
      <formula>#REF!=0</formula>
    </cfRule>
  </conditionalFormatting>
  <conditionalFormatting sqref="U45:V48 U50:V59 U6:V43">
    <cfRule type="expression" dxfId="899" priority="83">
      <formula>#REF!=0</formula>
    </cfRule>
  </conditionalFormatting>
  <conditionalFormatting sqref="E45:G48 K44:N44 E50:G59 J45:N59 E6:G43 J6:N43">
    <cfRule type="expression" dxfId="898" priority="77" stopIfTrue="1">
      <formula>$O6=0</formula>
    </cfRule>
  </conditionalFormatting>
  <conditionalFormatting sqref="J6 J7:N59">
    <cfRule type="expression" dxfId="897" priority="64">
      <formula>$E6=J$2</formula>
    </cfRule>
  </conditionalFormatting>
  <conditionalFormatting sqref="K6:N6">
    <cfRule type="expression" dxfId="896" priority="40">
      <formula>$E6=K$2</formula>
    </cfRule>
  </conditionalFormatting>
  <conditionalFormatting sqref="D45:D48 D50:D59 D6:D43">
    <cfRule type="expression" dxfId="895" priority="59">
      <formula>$O6=0</formula>
    </cfRule>
  </conditionalFormatting>
  <conditionalFormatting sqref="O45:O48 O6:O43 O50:O59">
    <cfRule type="cellIs" dxfId="894" priority="522" operator="equal">
      <formula>0</formula>
    </cfRule>
    <cfRule type="iconSet" priority="523">
      <iconSet iconSet="3Symbols">
        <cfvo type="percent" val="0"/>
        <cfvo type="num" val="0" gte="0"/>
        <cfvo type="num" val="1"/>
      </iconSet>
    </cfRule>
  </conditionalFormatting>
  <conditionalFormatting sqref="E45:G48 E50:G59 E6:G43">
    <cfRule type="expression" dxfId="893" priority="526">
      <formula>OR($E6&gt;$W6,$E6&lt;0)</formula>
    </cfRule>
    <cfRule type="notContainsBlanks" dxfId="892" priority="527">
      <formula>LEN(TRIM(E6))&gt;0</formula>
    </cfRule>
  </conditionalFormatting>
  <conditionalFormatting sqref="AA6:AG17 AH7:AH17 AA45:AH48 AA50:AH59 AA18:AH43">
    <cfRule type="expression" dxfId="891" priority="49">
      <formula>#REF!=0</formula>
    </cfRule>
  </conditionalFormatting>
  <conditionalFormatting sqref="G45:G48 G50:G59 G6:G43">
    <cfRule type="expression" dxfId="890" priority="48" stopIfTrue="1">
      <formula>F6=1</formula>
    </cfRule>
  </conditionalFormatting>
  <conditionalFormatting sqref="J45:J59 J6:J43">
    <cfRule type="expression" dxfId="889" priority="71">
      <formula>AND(H6&lt;&gt;0,G6=0)</formula>
    </cfRule>
  </conditionalFormatting>
  <conditionalFormatting sqref="K6">
    <cfRule type="expression" dxfId="888" priority="63">
      <formula>AND(H6&lt;&gt;0,G6=1)</formula>
    </cfRule>
  </conditionalFormatting>
  <conditionalFormatting sqref="L6">
    <cfRule type="expression" dxfId="887" priority="43">
      <formula>AND(H6&lt;&gt;0,G6=2)</formula>
    </cfRule>
  </conditionalFormatting>
  <conditionalFormatting sqref="M6">
    <cfRule type="expression" dxfId="886" priority="42">
      <formula>AND(H6&lt;&gt;0,G6=3)</formula>
    </cfRule>
  </conditionalFormatting>
  <conditionalFormatting sqref="N6">
    <cfRule type="expression" dxfId="885" priority="41">
      <formula>AND(H6&lt;&gt;0,G6=4)</formula>
    </cfRule>
  </conditionalFormatting>
  <conditionalFormatting sqref="AI45:AO48 AI50:AO59 AI7:AO43">
    <cfRule type="expression" dxfId="884" priority="37">
      <formula>#REF!=0</formula>
    </cfRule>
  </conditionalFormatting>
  <conditionalFormatting sqref="W44:X44">
    <cfRule type="expression" dxfId="883" priority="32">
      <formula>#REF!=0</formula>
    </cfRule>
  </conditionalFormatting>
  <conditionalFormatting sqref="U44:V44">
    <cfRule type="expression" dxfId="882" priority="31">
      <formula>#REF!=0</formula>
    </cfRule>
  </conditionalFormatting>
  <conditionalFormatting sqref="J44 E44:G44">
    <cfRule type="expression" dxfId="881" priority="30" stopIfTrue="1">
      <formula>$O44=0</formula>
    </cfRule>
  </conditionalFormatting>
  <conditionalFormatting sqref="D44">
    <cfRule type="expression" dxfId="880" priority="27">
      <formula>$O44=0</formula>
    </cfRule>
  </conditionalFormatting>
  <conditionalFormatting sqref="O44">
    <cfRule type="cellIs" dxfId="879" priority="33" operator="equal">
      <formula>0</formula>
    </cfRule>
    <cfRule type="iconSet" priority="34">
      <iconSet iconSet="3Symbols">
        <cfvo type="percent" val="0"/>
        <cfvo type="num" val="0" gte="0"/>
        <cfvo type="num" val="1"/>
      </iconSet>
    </cfRule>
  </conditionalFormatting>
  <conditionalFormatting sqref="E44:G44">
    <cfRule type="expression" dxfId="878" priority="35">
      <formula>OR($E44&gt;$W44,$E44&lt;0)</formula>
    </cfRule>
    <cfRule type="notContainsBlanks" dxfId="877" priority="36">
      <formula>LEN(TRIM(E44))&gt;0</formula>
    </cfRule>
  </conditionalFormatting>
  <conditionalFormatting sqref="AA44:AH44">
    <cfRule type="expression" dxfId="876" priority="26">
      <formula>#REF!=0</formula>
    </cfRule>
  </conditionalFormatting>
  <conditionalFormatting sqref="G44">
    <cfRule type="expression" dxfId="875" priority="25" stopIfTrue="1">
      <formula>F44=1</formula>
    </cfRule>
  </conditionalFormatting>
  <conditionalFormatting sqref="J44">
    <cfRule type="expression" dxfId="874" priority="29">
      <formula>AND(H44&lt;&gt;0,G44=0)</formula>
    </cfRule>
  </conditionalFormatting>
  <conditionalFormatting sqref="AI44:AO44">
    <cfRule type="expression" dxfId="873" priority="24">
      <formula>#REF!=0</formula>
    </cfRule>
  </conditionalFormatting>
  <conditionalFormatting sqref="W49:X49">
    <cfRule type="expression" dxfId="872" priority="15">
      <formula>#REF!=0</formula>
    </cfRule>
  </conditionalFormatting>
  <conditionalFormatting sqref="U49:V49">
    <cfRule type="expression" dxfId="871" priority="14">
      <formula>#REF!=0</formula>
    </cfRule>
  </conditionalFormatting>
  <conditionalFormatting sqref="E49:G49">
    <cfRule type="expression" dxfId="870" priority="13" stopIfTrue="1">
      <formula>$O49=0</formula>
    </cfRule>
  </conditionalFormatting>
  <conditionalFormatting sqref="E49:G49">
    <cfRule type="expression" dxfId="869" priority="18">
      <formula>OR($E49&gt;$W49,$E49&lt;0)</formula>
    </cfRule>
    <cfRule type="notContainsBlanks" dxfId="868" priority="19">
      <formula>LEN(TRIM(E49))&gt;0</formula>
    </cfRule>
  </conditionalFormatting>
  <conditionalFormatting sqref="AA49:AH49">
    <cfRule type="expression" dxfId="867" priority="9">
      <formula>#REF!=0</formula>
    </cfRule>
  </conditionalFormatting>
  <conditionalFormatting sqref="G49">
    <cfRule type="expression" dxfId="866" priority="8" stopIfTrue="1">
      <formula>F49=1</formula>
    </cfRule>
  </conditionalFormatting>
  <conditionalFormatting sqref="AI49:AO49">
    <cfRule type="expression" dxfId="865" priority="7">
      <formula>#REF!=0</formula>
    </cfRule>
  </conditionalFormatting>
  <conditionalFormatting sqref="O49">
    <cfRule type="cellIs" dxfId="864" priority="1" operator="equal">
      <formula>0</formula>
    </cfRule>
    <cfRule type="iconSet" priority="2">
      <iconSet iconSet="3Symbols">
        <cfvo type="percent" val="0"/>
        <cfvo type="num" val="0" gte="0"/>
        <cfvo type="num" val="1"/>
      </iconSet>
    </cfRule>
  </conditionalFormatting>
  <dataValidations count="4">
    <dataValidation showInputMessage="1" showErrorMessage="1" sqref="D2" xr:uid="{00000000-0002-0000-0200-000000000000}"/>
    <dataValidation allowBlank="1" showInputMessage="1" showErrorMessage="1" promptTitle="Functionality leve:" prompt="Please enter the main functionality level." sqref="E6:E59" xr:uid="{00000000-0002-0000-0200-000001000000}"/>
    <dataValidation allowBlank="1" showInputMessage="1" showErrorMessage="1" promptTitle="Share:" prompt="Please enter the percentage of net surface floor area the main functionality level applies to." sqref="F6:F59" xr:uid="{00000000-0002-0000-0200-000002000000}"/>
    <dataValidation allowBlank="1" showInputMessage="1" showErrorMessage="1" promptTitle="Additional functionality level:" prompt="Please enter the functionality level that applies to the remainder of the building surface floor area. " sqref="G6:G59" xr:uid="{00000000-0002-0000-0200-000003000000}"/>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2:P39"/>
  <sheetViews>
    <sheetView zoomScale="90" zoomScaleNormal="90" workbookViewId="0">
      <selection activeCell="F28" sqref="F28"/>
    </sheetView>
  </sheetViews>
  <sheetFormatPr defaultColWidth="8.81640625" defaultRowHeight="14.5" x14ac:dyDescent="0.35"/>
  <cols>
    <col min="1" max="1" width="8.81640625" style="30"/>
    <col min="2" max="2" width="3.1796875" style="30" customWidth="1"/>
    <col min="3" max="4" width="8.81640625" style="30"/>
    <col min="5" max="11" width="13.6328125" style="30" customWidth="1"/>
    <col min="12" max="12" width="17" style="30" customWidth="1"/>
    <col min="13" max="16384" width="8.81640625" style="30"/>
  </cols>
  <sheetData>
    <row r="2" spans="2:16" ht="21" x14ac:dyDescent="0.5">
      <c r="C2" s="81" t="s">
        <v>814</v>
      </c>
      <c r="D2" s="147"/>
      <c r="E2" s="147"/>
      <c r="F2" s="147"/>
      <c r="G2" s="147"/>
      <c r="H2" s="147"/>
      <c r="I2" s="147"/>
      <c r="J2" s="147"/>
      <c r="K2" s="147"/>
      <c r="L2" s="147"/>
      <c r="M2" s="147"/>
      <c r="N2" s="147"/>
      <c r="O2" s="147"/>
      <c r="P2" s="147"/>
    </row>
    <row r="3" spans="2:16" ht="7" customHeight="1" x14ac:dyDescent="0.5">
      <c r="C3" s="81"/>
      <c r="D3" s="147"/>
      <c r="E3" s="147"/>
      <c r="F3" s="147"/>
      <c r="G3" s="147"/>
      <c r="H3" s="147"/>
      <c r="I3" s="147"/>
      <c r="J3" s="147"/>
      <c r="K3" s="147"/>
      <c r="L3" s="147"/>
      <c r="M3" s="147"/>
      <c r="N3" s="147"/>
      <c r="O3" s="147"/>
      <c r="P3" s="147"/>
    </row>
    <row r="4" spans="2:16" x14ac:dyDescent="0.35">
      <c r="C4" s="476" t="s">
        <v>1178</v>
      </c>
    </row>
    <row r="5" spans="2:16" x14ac:dyDescent="0.35">
      <c r="C5" s="476" t="s">
        <v>1179</v>
      </c>
    </row>
    <row r="6" spans="2:16" ht="15" thickBot="1" x14ac:dyDescent="0.4">
      <c r="C6" s="147"/>
      <c r="D6" s="147"/>
      <c r="E6" s="147"/>
      <c r="F6" s="147"/>
      <c r="G6" s="147"/>
      <c r="H6" s="147"/>
      <c r="I6" s="147"/>
      <c r="J6" s="147"/>
      <c r="K6" s="147"/>
      <c r="L6" s="147"/>
      <c r="M6" s="147"/>
      <c r="N6" s="147"/>
      <c r="O6" s="147"/>
      <c r="P6" s="147"/>
    </row>
    <row r="7" spans="2:16" x14ac:dyDescent="0.35">
      <c r="B7" s="363"/>
      <c r="C7" s="351"/>
      <c r="D7" s="351"/>
      <c r="E7" s="351"/>
      <c r="F7" s="351"/>
      <c r="G7" s="351"/>
      <c r="H7" s="351"/>
      <c r="I7" s="351"/>
      <c r="J7" s="351"/>
      <c r="K7" s="351"/>
      <c r="L7" s="352"/>
      <c r="M7" s="358"/>
      <c r="N7" s="358"/>
      <c r="O7" s="358"/>
      <c r="P7" s="358"/>
    </row>
    <row r="8" spans="2:16" ht="23.5" x14ac:dyDescent="0.55000000000000004">
      <c r="B8" s="366"/>
      <c r="C8" s="383" t="s">
        <v>1016</v>
      </c>
      <c r="D8" s="361"/>
      <c r="E8" s="361"/>
      <c r="F8" s="362">
        <f ca="1">'Calculation Sheet'!DF4</f>
        <v>0.6722675785907708</v>
      </c>
      <c r="G8" s="361"/>
      <c r="H8" s="361"/>
      <c r="I8" s="361"/>
      <c r="J8" s="361"/>
      <c r="K8" s="361"/>
      <c r="L8" s="367"/>
      <c r="M8" s="358"/>
      <c r="N8" s="358"/>
      <c r="O8" s="358"/>
      <c r="P8" s="358"/>
    </row>
    <row r="9" spans="2:16" ht="15" thickBot="1" x14ac:dyDescent="0.4">
      <c r="B9" s="368"/>
      <c r="C9" s="369"/>
      <c r="D9" s="369"/>
      <c r="E9" s="369"/>
      <c r="F9" s="369"/>
      <c r="G9" s="369"/>
      <c r="H9" s="369"/>
      <c r="I9" s="369"/>
      <c r="J9" s="369"/>
      <c r="K9" s="369"/>
      <c r="L9" s="370"/>
      <c r="M9" s="358"/>
      <c r="N9" s="358"/>
      <c r="O9" s="358"/>
      <c r="P9" s="358"/>
    </row>
    <row r="10" spans="2:16" ht="15" thickBot="1" x14ac:dyDescent="0.4">
      <c r="C10" s="358"/>
      <c r="D10" s="358"/>
      <c r="E10" s="358"/>
      <c r="F10" s="358"/>
      <c r="G10" s="358"/>
      <c r="H10" s="358"/>
      <c r="I10" s="358"/>
      <c r="J10" s="358"/>
      <c r="K10" s="358"/>
      <c r="L10" s="358"/>
      <c r="M10" s="358"/>
      <c r="N10" s="358"/>
      <c r="O10" s="358"/>
      <c r="P10" s="358"/>
    </row>
    <row r="11" spans="2:16" ht="23.5" x14ac:dyDescent="0.55000000000000004">
      <c r="B11" s="363"/>
      <c r="C11" s="378" t="s">
        <v>1017</v>
      </c>
      <c r="D11" s="351"/>
      <c r="E11" s="364"/>
      <c r="F11" s="364"/>
      <c r="G11" s="364"/>
      <c r="H11" s="364"/>
      <c r="I11" s="364"/>
      <c r="J11" s="364"/>
      <c r="K11" s="364"/>
      <c r="L11" s="365"/>
      <c r="M11" s="358"/>
      <c r="N11" s="358"/>
      <c r="O11" s="358"/>
      <c r="P11" s="358"/>
    </row>
    <row r="12" spans="2:16" x14ac:dyDescent="0.35">
      <c r="B12" s="366"/>
      <c r="C12" s="361"/>
      <c r="D12" s="353"/>
      <c r="E12" s="361"/>
      <c r="F12" s="361"/>
      <c r="G12" s="361"/>
      <c r="H12" s="361"/>
      <c r="I12" s="361"/>
      <c r="J12" s="361"/>
      <c r="K12" s="361"/>
      <c r="L12" s="367"/>
      <c r="M12" s="359"/>
      <c r="N12" s="359"/>
      <c r="O12" s="358"/>
      <c r="P12" s="358"/>
    </row>
    <row r="13" spans="2:16" ht="18.5" x14ac:dyDescent="0.45">
      <c r="B13" s="366"/>
      <c r="C13" s="353" t="str">
        <f>'Calculation Sheet'!CY3</f>
        <v>Energy savings on site</v>
      </c>
      <c r="D13" s="353"/>
      <c r="E13" s="361"/>
      <c r="F13" s="372">
        <f ca="1">'Calculation Sheet'!CY4</f>
        <v>0.78654470835493551</v>
      </c>
      <c r="G13" s="361"/>
      <c r="H13" s="361"/>
      <c r="I13" s="361"/>
      <c r="J13" s="361"/>
      <c r="K13" s="361"/>
      <c r="L13" s="367"/>
      <c r="M13" s="358"/>
      <c r="N13" s="358"/>
      <c r="O13" s="358"/>
      <c r="P13" s="358"/>
    </row>
    <row r="14" spans="2:16" ht="18.5" x14ac:dyDescent="0.45">
      <c r="B14" s="366"/>
      <c r="C14" s="353" t="str">
        <f>'Calculation Sheet'!CZ3</f>
        <v>Flexibility for the grid and storage</v>
      </c>
      <c r="D14" s="353"/>
      <c r="E14" s="361"/>
      <c r="F14" s="372">
        <f ca="1">'Calculation Sheet'!CZ4</f>
        <v>0.50957912947379569</v>
      </c>
      <c r="G14" s="361"/>
      <c r="H14" s="361"/>
      <c r="I14" s="361"/>
      <c r="J14" s="361"/>
      <c r="K14" s="361"/>
      <c r="L14" s="367"/>
      <c r="M14" s="358"/>
      <c r="N14" s="358"/>
      <c r="O14" s="358"/>
      <c r="P14" s="358"/>
    </row>
    <row r="15" spans="2:16" ht="18.5" x14ac:dyDescent="0.35">
      <c r="B15" s="366"/>
      <c r="C15" s="353" t="str">
        <f>'Calculation Sheet'!DA3</f>
        <v>Comfort</v>
      </c>
      <c r="D15" s="353"/>
      <c r="E15" s="357"/>
      <c r="F15" s="373">
        <f ca="1">'Calculation Sheet'!DA4</f>
        <v>0.77528089887640461</v>
      </c>
      <c r="G15" s="357"/>
      <c r="H15" s="357"/>
      <c r="I15" s="357"/>
      <c r="J15" s="357"/>
      <c r="K15" s="357"/>
      <c r="L15" s="379"/>
      <c r="M15" s="358"/>
      <c r="N15" s="358"/>
      <c r="O15" s="358"/>
      <c r="P15" s="358"/>
    </row>
    <row r="16" spans="2:16" ht="18.5" x14ac:dyDescent="0.35">
      <c r="B16" s="366"/>
      <c r="C16" s="353" t="str">
        <f>'Calculation Sheet'!DB3</f>
        <v>Convenience</v>
      </c>
      <c r="D16" s="353"/>
      <c r="E16" s="357"/>
      <c r="F16" s="373">
        <f ca="1">'Calculation Sheet'!DB4</f>
        <v>0.61428571428571399</v>
      </c>
      <c r="G16" s="357"/>
      <c r="H16" s="357"/>
      <c r="I16" s="357"/>
      <c r="J16" s="357"/>
      <c r="K16" s="357"/>
      <c r="L16" s="379"/>
      <c r="M16" s="358"/>
      <c r="N16" s="358"/>
      <c r="O16" s="358"/>
      <c r="P16" s="358"/>
    </row>
    <row r="17" spans="2:16" ht="18.5" x14ac:dyDescent="0.35">
      <c r="B17" s="366"/>
      <c r="C17" s="353" t="str">
        <f>'Calculation Sheet'!DC3</f>
        <v>Wellbeing and health</v>
      </c>
      <c r="D17" s="353"/>
      <c r="E17" s="357"/>
      <c r="F17" s="373">
        <f ca="1">'Calculation Sheet'!DC4</f>
        <v>0.82608695652173914</v>
      </c>
      <c r="G17" s="357"/>
      <c r="H17" s="357"/>
      <c r="I17" s="357"/>
      <c r="J17" s="357"/>
      <c r="K17" s="357"/>
      <c r="L17" s="379"/>
      <c r="M17" s="358"/>
      <c r="N17" s="358"/>
      <c r="O17" s="358"/>
      <c r="P17" s="358"/>
    </row>
    <row r="18" spans="2:16" ht="18.5" x14ac:dyDescent="0.35">
      <c r="B18" s="366"/>
      <c r="C18" s="353" t="str">
        <f>'Calculation Sheet'!DD3</f>
        <v>Maintenance &amp; fault prediction</v>
      </c>
      <c r="D18" s="353"/>
      <c r="E18" s="357"/>
      <c r="F18" s="373">
        <f ca="1">'Calculation Sheet'!DD4</f>
        <v>0.54796300874577197</v>
      </c>
      <c r="G18" s="357"/>
      <c r="H18" s="357"/>
      <c r="I18" s="357"/>
      <c r="J18" s="357"/>
      <c r="K18" s="357"/>
      <c r="L18" s="379"/>
      <c r="M18" s="358"/>
      <c r="N18" s="358"/>
      <c r="O18" s="358"/>
      <c r="P18" s="358"/>
    </row>
    <row r="19" spans="2:16" ht="18.5" x14ac:dyDescent="0.35">
      <c r="B19" s="366"/>
      <c r="C19" s="353" t="str">
        <f>'Calculation Sheet'!DE3</f>
        <v>information to occupants</v>
      </c>
      <c r="D19" s="353"/>
      <c r="E19" s="357"/>
      <c r="F19" s="373">
        <f ca="1">'Calculation Sheet'!DE4</f>
        <v>0.47878787878787882</v>
      </c>
      <c r="G19" s="357"/>
      <c r="H19" s="357"/>
      <c r="I19" s="357"/>
      <c r="J19" s="357"/>
      <c r="K19" s="357"/>
      <c r="L19" s="379"/>
      <c r="M19" s="358"/>
      <c r="N19" s="358"/>
      <c r="O19" s="358"/>
      <c r="P19" s="358"/>
    </row>
    <row r="20" spans="2:16" x14ac:dyDescent="0.35">
      <c r="B20" s="366"/>
      <c r="C20" s="353"/>
      <c r="D20" s="353"/>
      <c r="E20" s="357"/>
      <c r="F20" s="357"/>
      <c r="G20" s="357"/>
      <c r="H20" s="357"/>
      <c r="I20" s="357"/>
      <c r="J20" s="357"/>
      <c r="K20" s="357"/>
      <c r="L20" s="379"/>
      <c r="M20" s="358"/>
      <c r="N20" s="358"/>
      <c r="O20" s="358"/>
      <c r="P20" s="358"/>
    </row>
    <row r="21" spans="2:16" x14ac:dyDescent="0.35">
      <c r="B21" s="366"/>
      <c r="C21" s="353"/>
      <c r="D21" s="353"/>
      <c r="E21" s="357"/>
      <c r="F21" s="357"/>
      <c r="G21" s="357"/>
      <c r="H21" s="357"/>
      <c r="I21" s="357"/>
      <c r="J21" s="357"/>
      <c r="K21" s="357"/>
      <c r="L21" s="379"/>
      <c r="M21" s="358"/>
      <c r="N21" s="358"/>
      <c r="O21" s="358"/>
      <c r="P21" s="358"/>
    </row>
    <row r="22" spans="2:16" x14ac:dyDescent="0.35">
      <c r="B22" s="366"/>
      <c r="C22" s="353"/>
      <c r="D22" s="353"/>
      <c r="E22" s="357"/>
      <c r="F22" s="357"/>
      <c r="G22" s="357"/>
      <c r="H22" s="357"/>
      <c r="I22" s="357"/>
      <c r="J22" s="357"/>
      <c r="K22" s="357"/>
      <c r="L22" s="379"/>
      <c r="M22" s="358"/>
      <c r="N22" s="358"/>
      <c r="O22" s="358"/>
      <c r="P22" s="358"/>
    </row>
    <row r="23" spans="2:16" x14ac:dyDescent="0.35">
      <c r="B23" s="366"/>
      <c r="C23" s="353"/>
      <c r="D23" s="353"/>
      <c r="E23" s="357"/>
      <c r="F23" s="357"/>
      <c r="G23" s="357"/>
      <c r="H23" s="357"/>
      <c r="I23" s="357"/>
      <c r="J23" s="357"/>
      <c r="K23" s="357"/>
      <c r="L23" s="379"/>
      <c r="M23" s="358"/>
      <c r="N23" s="358"/>
      <c r="O23" s="358"/>
      <c r="P23" s="358"/>
    </row>
    <row r="24" spans="2:16" ht="15" thickBot="1" x14ac:dyDescent="0.4">
      <c r="B24" s="368"/>
      <c r="C24" s="355"/>
      <c r="D24" s="355"/>
      <c r="E24" s="374"/>
      <c r="F24" s="374"/>
      <c r="G24" s="374"/>
      <c r="H24" s="374"/>
      <c r="I24" s="374"/>
      <c r="J24" s="374"/>
      <c r="K24" s="374"/>
      <c r="L24" s="380"/>
      <c r="M24" s="358"/>
      <c r="N24" s="358"/>
      <c r="O24" s="358"/>
      <c r="P24" s="358"/>
    </row>
    <row r="25" spans="2:16" ht="15" thickBot="1" x14ac:dyDescent="0.4">
      <c r="C25" s="358"/>
      <c r="D25" s="358"/>
      <c r="E25" s="360"/>
      <c r="F25" s="360"/>
      <c r="G25" s="360"/>
      <c r="H25" s="360"/>
      <c r="I25" s="360"/>
      <c r="J25" s="360"/>
      <c r="K25" s="360"/>
      <c r="L25" s="360"/>
      <c r="M25" s="358"/>
      <c r="N25" s="358"/>
      <c r="O25" s="358"/>
      <c r="P25" s="358"/>
    </row>
    <row r="26" spans="2:16" ht="23.5" x14ac:dyDescent="0.55000000000000004">
      <c r="B26" s="363"/>
      <c r="C26" s="378" t="s">
        <v>1019</v>
      </c>
      <c r="D26" s="351"/>
      <c r="E26" s="364"/>
      <c r="F26" s="351"/>
      <c r="G26" s="351"/>
      <c r="H26" s="351"/>
      <c r="I26" s="351"/>
      <c r="J26" s="351"/>
      <c r="K26" s="351"/>
      <c r="L26" s="352"/>
      <c r="M26" s="358"/>
      <c r="N26" s="358"/>
      <c r="O26" s="358"/>
      <c r="P26" s="358"/>
    </row>
    <row r="27" spans="2:16" x14ac:dyDescent="0.35">
      <c r="B27" s="366"/>
      <c r="C27" s="361"/>
      <c r="D27" s="353"/>
      <c r="E27" s="361"/>
      <c r="F27" s="375"/>
      <c r="G27" s="375"/>
      <c r="H27" s="375"/>
      <c r="I27" s="375"/>
      <c r="J27" s="375"/>
      <c r="K27" s="375"/>
      <c r="L27" s="381"/>
      <c r="M27" s="358"/>
      <c r="N27" s="358"/>
      <c r="O27" s="358"/>
      <c r="P27" s="358"/>
    </row>
    <row r="28" spans="2:16" ht="18.5" x14ac:dyDescent="0.45">
      <c r="B28" s="366"/>
      <c r="C28" s="353" t="str">
        <f>Weightings!A9</f>
        <v>Heating system</v>
      </c>
      <c r="D28" s="353"/>
      <c r="E28" s="361"/>
      <c r="F28" s="376">
        <f ca="1">IF('Building Information'!G44="yes",SUM('Calculation Sheet'!BQ6:BW17)/SUM('Calculation Sheet'!CQ6:CW17),"")</f>
        <v>0.81207875026000931</v>
      </c>
      <c r="G28" s="377"/>
      <c r="H28" s="377"/>
      <c r="I28" s="377"/>
      <c r="J28" s="377"/>
      <c r="K28" s="377"/>
      <c r="L28" s="382"/>
      <c r="M28" s="358"/>
      <c r="N28" s="358"/>
      <c r="O28" s="358"/>
      <c r="P28" s="358"/>
    </row>
    <row r="29" spans="2:16" ht="18.5" x14ac:dyDescent="0.45">
      <c r="B29" s="366"/>
      <c r="C29" s="353" t="str">
        <f>Weightings!A10</f>
        <v>Domestic Hot Water</v>
      </c>
      <c r="D29" s="353"/>
      <c r="E29" s="361"/>
      <c r="F29" s="376">
        <f ca="1">IF('Building Information'!G45="yes",SUM('Calculation Sheet'!BQ18:BW21)/SUM('Calculation Sheet'!CQ18:CW21),"")</f>
        <v>0.4314924068078852</v>
      </c>
      <c r="G29" s="353"/>
      <c r="H29" s="353"/>
      <c r="I29" s="353"/>
      <c r="J29" s="353"/>
      <c r="K29" s="353"/>
      <c r="L29" s="354"/>
      <c r="M29" s="358"/>
      <c r="N29" s="358"/>
      <c r="O29" s="358"/>
      <c r="P29" s="358"/>
    </row>
    <row r="30" spans="2:16" ht="18.5" x14ac:dyDescent="0.45">
      <c r="B30" s="366"/>
      <c r="C30" s="353" t="str">
        <f>Weightings!A11</f>
        <v>Cooling system</v>
      </c>
      <c r="D30" s="353"/>
      <c r="E30" s="357"/>
      <c r="F30" s="376">
        <f ca="1">IF('Building Information'!G46="yes",SUM('Calculation Sheet'!BQ22:BW31)/SUM('Calculation Sheet'!CQ22:CW31),"")</f>
        <v>0.90222931226217129</v>
      </c>
      <c r="G30" s="353"/>
      <c r="H30" s="353"/>
      <c r="I30" s="353"/>
      <c r="J30" s="353"/>
      <c r="K30" s="353"/>
      <c r="L30" s="354"/>
      <c r="M30" s="358"/>
      <c r="N30" s="358"/>
      <c r="O30" s="358"/>
      <c r="P30" s="358"/>
    </row>
    <row r="31" spans="2:16" ht="18.5" x14ac:dyDescent="0.45">
      <c r="B31" s="366"/>
      <c r="C31" s="353" t="str">
        <f>Weightings!A12</f>
        <v>Controlled ventilation</v>
      </c>
      <c r="D31" s="353"/>
      <c r="E31" s="357"/>
      <c r="F31" s="376">
        <f ca="1">IF('Building Information'!G47="yes",SUM('Calculation Sheet'!BQ32:BW39)/SUM('Calculation Sheet'!CQ32:CW39),"")</f>
        <v>0.87080752790864757</v>
      </c>
      <c r="G31" s="353"/>
      <c r="H31" s="353"/>
      <c r="I31" s="353"/>
      <c r="J31" s="353"/>
      <c r="K31" s="353"/>
      <c r="L31" s="354"/>
      <c r="M31" s="358"/>
      <c r="N31" s="358"/>
      <c r="O31" s="358"/>
      <c r="P31" s="358"/>
    </row>
    <row r="32" spans="2:16" ht="18.5" x14ac:dyDescent="0.45">
      <c r="B32" s="366"/>
      <c r="C32" s="353" t="str">
        <f>Weightings!A13</f>
        <v>Lighting</v>
      </c>
      <c r="D32" s="353"/>
      <c r="E32" s="357"/>
      <c r="F32" s="376">
        <f ca="1">IF('Building Information'!G48="yes",SUM('Calculation Sheet'!BQ40:BW41)/SUM('Calculation Sheet'!CQ40:CW41),"")</f>
        <v>0.68181380107838463</v>
      </c>
      <c r="G32" s="353"/>
      <c r="H32" s="353"/>
      <c r="I32" s="353"/>
      <c r="J32" s="353"/>
      <c r="K32" s="353"/>
      <c r="L32" s="354"/>
      <c r="M32" s="358"/>
      <c r="N32" s="358"/>
      <c r="O32" s="358"/>
      <c r="P32" s="358"/>
    </row>
    <row r="33" spans="2:16" ht="18.5" x14ac:dyDescent="0.45">
      <c r="B33" s="366"/>
      <c r="C33" s="353" t="str">
        <f>Weightings!A15</f>
        <v>Dynamic Envelope</v>
      </c>
      <c r="D33" s="353"/>
      <c r="E33" s="357"/>
      <c r="F33" s="376">
        <f ca="1">IF('Building Information'!G49="yes",SUM('Calculation Sheet'!BQ42:BW43)/SUM('Calculation Sheet'!CQ42:CW43),"")</f>
        <v>0</v>
      </c>
      <c r="G33" s="353"/>
      <c r="H33" s="353"/>
      <c r="I33" s="353"/>
      <c r="J33" s="353"/>
      <c r="K33" s="353"/>
      <c r="L33" s="354"/>
      <c r="M33" s="358"/>
      <c r="N33" s="358"/>
      <c r="O33" s="358"/>
      <c r="P33" s="358"/>
    </row>
    <row r="34" spans="2:16" ht="18.5" x14ac:dyDescent="0.45">
      <c r="B34" s="366"/>
      <c r="C34" s="353" t="str">
        <f>Weightings!A14</f>
        <v>Electricity: renewables &amp; storage</v>
      </c>
      <c r="D34" s="353"/>
      <c r="E34" s="357"/>
      <c r="F34" s="376">
        <f ca="1">IF('Building Information'!G50="yes",SUM('Calculation Sheet'!BQ43:BW48)/SUM('Calculation Sheet'!CQ45:CW48),"")</f>
        <v>0.25131025578393945</v>
      </c>
      <c r="G34" s="353"/>
      <c r="H34" s="353"/>
      <c r="I34" s="353"/>
      <c r="J34" s="353"/>
      <c r="K34" s="353"/>
      <c r="L34" s="354"/>
      <c r="M34" s="358"/>
      <c r="N34" s="358"/>
      <c r="O34" s="358"/>
      <c r="P34" s="358"/>
    </row>
    <row r="35" spans="2:16" ht="18.5" x14ac:dyDescent="0.45">
      <c r="B35" s="366"/>
      <c r="C35" s="353" t="str">
        <f>Weightings!A16</f>
        <v>Electric Vehicle Charging</v>
      </c>
      <c r="D35" s="353"/>
      <c r="E35" s="353"/>
      <c r="F35" s="376">
        <f ca="1">IF('Building Information'!G51="yes",SUM('Calculation Sheet'!BQ50:BW52)/SUM('Calculation Sheet'!CQ50:CW52),"")</f>
        <v>0.2592592592592593</v>
      </c>
      <c r="G35" s="353"/>
      <c r="H35" s="353"/>
      <c r="I35" s="353"/>
      <c r="J35" s="353"/>
      <c r="K35" s="353"/>
      <c r="L35" s="354"/>
      <c r="M35" s="358"/>
      <c r="N35" s="358"/>
      <c r="O35" s="358"/>
      <c r="P35" s="358"/>
    </row>
    <row r="36" spans="2:16" ht="18.5" x14ac:dyDescent="0.45">
      <c r="B36" s="366"/>
      <c r="C36" s="353" t="str">
        <f>Weightings!A17</f>
        <v>Monitoring &amp; Control</v>
      </c>
      <c r="D36" s="353"/>
      <c r="E36" s="353"/>
      <c r="F36" s="376">
        <f ca="1">SUM('Calculation Sheet'!BQ53:BW59)/SUM('Calculation Sheet'!CQ53:CW59)</f>
        <v>0.45238095238095227</v>
      </c>
      <c r="G36" s="353"/>
      <c r="H36" s="353"/>
      <c r="I36" s="353"/>
      <c r="J36" s="353"/>
      <c r="K36" s="353"/>
      <c r="L36" s="354"/>
      <c r="M36" s="358"/>
      <c r="N36" s="358"/>
      <c r="O36" s="358"/>
      <c r="P36" s="358"/>
    </row>
    <row r="37" spans="2:16" x14ac:dyDescent="0.35">
      <c r="B37" s="366"/>
      <c r="C37" s="353"/>
      <c r="D37" s="353"/>
      <c r="E37" s="353"/>
      <c r="F37" s="353"/>
      <c r="G37" s="353"/>
      <c r="H37" s="353"/>
      <c r="I37" s="353"/>
      <c r="J37" s="353"/>
      <c r="K37" s="353"/>
      <c r="L37" s="354"/>
      <c r="M37" s="358"/>
      <c r="N37" s="358"/>
      <c r="O37" s="358"/>
      <c r="P37" s="358"/>
    </row>
    <row r="38" spans="2:16" ht="15" thickBot="1" x14ac:dyDescent="0.4">
      <c r="B38" s="368"/>
      <c r="C38" s="355"/>
      <c r="D38" s="355"/>
      <c r="E38" s="355"/>
      <c r="F38" s="355"/>
      <c r="G38" s="355"/>
      <c r="H38" s="355"/>
      <c r="I38" s="355"/>
      <c r="J38" s="355"/>
      <c r="K38" s="355"/>
      <c r="L38" s="356"/>
      <c r="M38" s="358"/>
      <c r="N38" s="358"/>
      <c r="O38" s="358"/>
      <c r="P38" s="358"/>
    </row>
    <row r="39" spans="2:16" x14ac:dyDescent="0.35">
      <c r="C39" s="358"/>
      <c r="D39" s="358"/>
      <c r="E39" s="358"/>
      <c r="F39" s="371"/>
      <c r="G39" s="371"/>
      <c r="H39" s="371"/>
      <c r="I39" s="371"/>
      <c r="J39" s="371"/>
      <c r="K39" s="371"/>
      <c r="L39" s="371"/>
      <c r="M39" s="371"/>
      <c r="N39" s="371"/>
      <c r="O39" s="371"/>
      <c r="P39" s="358"/>
    </row>
  </sheetData>
  <sheetProtection algorithmName="SHA-512" hashValue="UnZHQUkehdwdiEiCeE5EbOSG0eGIDLAT6PFLLI89qzIfT5fVmRN1mORAZ0wvqpxkKqjWSONJrFqaINv57mUwog==" saltValue="MKQeUHgqQFXWLvBCiFi9gw==" spinCount="100000" sheet="1" objects="1" scenarios="1"/>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AU105"/>
  <sheetViews>
    <sheetView zoomScale="50" zoomScaleNormal="50" workbookViewId="0">
      <selection activeCell="AM38" sqref="AM38"/>
    </sheetView>
  </sheetViews>
  <sheetFormatPr defaultRowHeight="14.5" x14ac:dyDescent="0.35"/>
  <cols>
    <col min="1" max="1" width="42.6328125" style="3" bestFit="1" customWidth="1"/>
    <col min="2" max="8" width="18.08984375" style="3" customWidth="1"/>
    <col min="9" max="10" width="8.7265625" style="3"/>
    <col min="11" max="11" width="28.1796875" style="3" bestFit="1" customWidth="1"/>
    <col min="12" max="18" width="14.1796875" style="3" customWidth="1"/>
    <col min="19" max="20" width="8.7265625" style="3"/>
    <col min="21" max="21" width="28.1796875" style="3" bestFit="1" customWidth="1"/>
    <col min="22" max="28" width="17" style="3" customWidth="1"/>
    <col min="29" max="29" width="8.7265625" style="3"/>
    <col min="30" max="30" width="28.1796875" style="3" bestFit="1" customWidth="1"/>
    <col min="31" max="37" width="17.453125" style="3" customWidth="1"/>
    <col min="38" max="38" width="8.7265625" style="3"/>
    <col min="39" max="39" width="28.1796875" style="3" bestFit="1" customWidth="1"/>
    <col min="40" max="46" width="16.36328125" style="3" customWidth="1"/>
    <col min="47" max="16384" width="8.7265625" style="3"/>
  </cols>
  <sheetData>
    <row r="1" spans="1:8" ht="21" x14ac:dyDescent="0.5">
      <c r="A1" s="116" t="s">
        <v>955</v>
      </c>
    </row>
    <row r="4" spans="1:8" s="126" customFormat="1" x14ac:dyDescent="0.35">
      <c r="A4" s="126" t="s">
        <v>958</v>
      </c>
    </row>
    <row r="5" spans="1:8" s="117" customFormat="1" x14ac:dyDescent="0.35"/>
    <row r="6" spans="1:8" s="117" customFormat="1" x14ac:dyDescent="0.35">
      <c r="A6" s="3" t="s">
        <v>957</v>
      </c>
    </row>
    <row r="7" spans="1:8" s="117" customFormat="1" x14ac:dyDescent="0.35">
      <c r="A7" s="3"/>
    </row>
    <row r="8" spans="1:8" ht="29" x14ac:dyDescent="0.35">
      <c r="A8" s="118"/>
      <c r="B8" s="119" t="s">
        <v>687</v>
      </c>
      <c r="C8" s="119" t="s">
        <v>688</v>
      </c>
      <c r="D8" s="119" t="s">
        <v>689</v>
      </c>
      <c r="E8" s="119" t="s">
        <v>690</v>
      </c>
      <c r="F8" s="119" t="s">
        <v>616</v>
      </c>
      <c r="G8" s="119" t="s">
        <v>691</v>
      </c>
      <c r="H8" s="119" t="s">
        <v>692</v>
      </c>
    </row>
    <row r="9" spans="1:8" x14ac:dyDescent="0.35">
      <c r="A9" s="120" t="s">
        <v>860</v>
      </c>
      <c r="B9" s="348">
        <f>1/9</f>
        <v>0.1111111111111111</v>
      </c>
      <c r="C9" s="348">
        <f>1/8</f>
        <v>0.125</v>
      </c>
      <c r="D9" s="348">
        <f>1/6</f>
        <v>0.16666666666666666</v>
      </c>
      <c r="E9" s="348">
        <f t="shared" ref="E9:E17" si="0">1/9</f>
        <v>0.1111111111111111</v>
      </c>
      <c r="F9" s="474">
        <v>0</v>
      </c>
      <c r="G9" s="348">
        <f>1/7</f>
        <v>0.14285714285714285</v>
      </c>
      <c r="H9" s="348">
        <f>1/8</f>
        <v>0.125</v>
      </c>
    </row>
    <row r="10" spans="1:8" x14ac:dyDescent="0.35">
      <c r="A10" s="120" t="s">
        <v>862</v>
      </c>
      <c r="B10" s="348">
        <f t="shared" ref="B10:B17" si="1">1/9</f>
        <v>0.1111111111111111</v>
      </c>
      <c r="C10" s="348">
        <f>1/8</f>
        <v>0.125</v>
      </c>
      <c r="D10" s="348">
        <f>1/6</f>
        <v>0.16666666666666666</v>
      </c>
      <c r="E10" s="348">
        <f t="shared" si="0"/>
        <v>0.1111111111111111</v>
      </c>
      <c r="F10" s="474">
        <v>0</v>
      </c>
      <c r="G10" s="348">
        <f>1/7</f>
        <v>0.14285714285714285</v>
      </c>
      <c r="H10" s="348">
        <f>1/8</f>
        <v>0.125</v>
      </c>
    </row>
    <row r="11" spans="1:8" x14ac:dyDescent="0.35">
      <c r="A11" s="120" t="s">
        <v>861</v>
      </c>
      <c r="B11" s="348">
        <f>1/9</f>
        <v>0.1111111111111111</v>
      </c>
      <c r="C11" s="348">
        <f>1/8</f>
        <v>0.125</v>
      </c>
      <c r="D11" s="348">
        <f>1/6</f>
        <v>0.16666666666666666</v>
      </c>
      <c r="E11" s="348">
        <f t="shared" si="0"/>
        <v>0.1111111111111111</v>
      </c>
      <c r="F11" s="474">
        <v>0</v>
      </c>
      <c r="G11" s="348">
        <f>1/7</f>
        <v>0.14285714285714285</v>
      </c>
      <c r="H11" s="348">
        <f>1/8</f>
        <v>0.125</v>
      </c>
    </row>
    <row r="12" spans="1:8" x14ac:dyDescent="0.35">
      <c r="A12" s="120" t="s">
        <v>224</v>
      </c>
      <c r="B12" s="348">
        <f t="shared" si="1"/>
        <v>0.1111111111111111</v>
      </c>
      <c r="C12" s="348">
        <f>1/8</f>
        <v>0.125</v>
      </c>
      <c r="D12" s="348">
        <f>1/6</f>
        <v>0.16666666666666666</v>
      </c>
      <c r="E12" s="348">
        <f t="shared" si="0"/>
        <v>0.1111111111111111</v>
      </c>
      <c r="F12" s="348">
        <v>0.5</v>
      </c>
      <c r="G12" s="348">
        <f>1/7</f>
        <v>0.14285714285714285</v>
      </c>
      <c r="H12" s="348">
        <f>1/8</f>
        <v>0.125</v>
      </c>
    </row>
    <row r="13" spans="1:8" x14ac:dyDescent="0.35">
      <c r="A13" s="120" t="s">
        <v>293</v>
      </c>
      <c r="B13" s="348">
        <f t="shared" si="1"/>
        <v>0.1111111111111111</v>
      </c>
      <c r="C13" s="474">
        <v>0</v>
      </c>
      <c r="D13" s="348">
        <f>1/6</f>
        <v>0.16666666666666666</v>
      </c>
      <c r="E13" s="348">
        <f t="shared" si="0"/>
        <v>0.1111111111111111</v>
      </c>
      <c r="F13" s="474">
        <v>0</v>
      </c>
      <c r="G13" s="474">
        <v>0</v>
      </c>
      <c r="H13" s="474">
        <v>0</v>
      </c>
    </row>
    <row r="14" spans="1:8" x14ac:dyDescent="0.35">
      <c r="A14" s="120" t="s">
        <v>924</v>
      </c>
      <c r="B14" s="348">
        <f t="shared" si="1"/>
        <v>0.1111111111111111</v>
      </c>
      <c r="C14" s="348">
        <f>1/8</f>
        <v>0.125</v>
      </c>
      <c r="D14" s="474">
        <v>0</v>
      </c>
      <c r="E14" s="348">
        <f t="shared" si="0"/>
        <v>0.1111111111111111</v>
      </c>
      <c r="F14" s="474">
        <v>0</v>
      </c>
      <c r="G14" s="348">
        <f>1/7</f>
        <v>0.14285714285714285</v>
      </c>
      <c r="H14" s="348">
        <f>1/8</f>
        <v>0.125</v>
      </c>
    </row>
    <row r="15" spans="1:8" x14ac:dyDescent="0.35">
      <c r="A15" s="120" t="s">
        <v>954</v>
      </c>
      <c r="B15" s="348">
        <f t="shared" si="1"/>
        <v>0.1111111111111111</v>
      </c>
      <c r="C15" s="348">
        <f>1/8</f>
        <v>0.125</v>
      </c>
      <c r="D15" s="348">
        <f>1/6</f>
        <v>0.16666666666666666</v>
      </c>
      <c r="E15" s="348">
        <f t="shared" si="0"/>
        <v>0.1111111111111111</v>
      </c>
      <c r="F15" s="348">
        <v>0.5</v>
      </c>
      <c r="G15" s="348">
        <f>1/7</f>
        <v>0.14285714285714285</v>
      </c>
      <c r="H15" s="348">
        <f>1/8</f>
        <v>0.125</v>
      </c>
    </row>
    <row r="16" spans="1:8" x14ac:dyDescent="0.35">
      <c r="A16" s="120" t="s">
        <v>923</v>
      </c>
      <c r="B16" s="348">
        <f t="shared" si="1"/>
        <v>0.1111111111111111</v>
      </c>
      <c r="C16" s="348">
        <f>1/8</f>
        <v>0.125</v>
      </c>
      <c r="D16" s="474">
        <v>0</v>
      </c>
      <c r="E16" s="348">
        <f t="shared" si="0"/>
        <v>0.1111111111111111</v>
      </c>
      <c r="F16" s="474">
        <v>0</v>
      </c>
      <c r="G16" s="474">
        <v>0</v>
      </c>
      <c r="H16" s="348">
        <f>1/8</f>
        <v>0.125</v>
      </c>
    </row>
    <row r="17" spans="1:46" x14ac:dyDescent="0.35">
      <c r="A17" s="120" t="s">
        <v>953</v>
      </c>
      <c r="B17" s="348">
        <f t="shared" si="1"/>
        <v>0.1111111111111111</v>
      </c>
      <c r="C17" s="348">
        <f>1/8</f>
        <v>0.125</v>
      </c>
      <c r="D17" s="474">
        <v>0</v>
      </c>
      <c r="E17" s="348">
        <f t="shared" si="0"/>
        <v>0.1111111111111111</v>
      </c>
      <c r="F17" s="474">
        <v>0</v>
      </c>
      <c r="G17" s="348">
        <f>1/7</f>
        <v>0.14285714285714285</v>
      </c>
      <c r="H17" s="348">
        <f>1/8</f>
        <v>0.125</v>
      </c>
    </row>
    <row r="18" spans="1:46" x14ac:dyDescent="0.35">
      <c r="A18" s="115"/>
      <c r="B18" s="349">
        <f>SUM(B9:B17)</f>
        <v>1.0000000000000002</v>
      </c>
      <c r="C18" s="349">
        <f t="shared" ref="C18:H18" si="2">SUM(C9:C17)</f>
        <v>1</v>
      </c>
      <c r="D18" s="349">
        <f t="shared" si="2"/>
        <v>0.99999999999999989</v>
      </c>
      <c r="E18" s="349">
        <f t="shared" si="2"/>
        <v>1.0000000000000002</v>
      </c>
      <c r="F18" s="349">
        <f t="shared" si="2"/>
        <v>1</v>
      </c>
      <c r="G18" s="349">
        <f t="shared" si="2"/>
        <v>0.99999999999999978</v>
      </c>
      <c r="H18" s="349">
        <f t="shared" si="2"/>
        <v>1</v>
      </c>
      <c r="J18" s="257" t="str">
        <f>IF(NOT(SUM(B18:H18)=7),"please check values, each domain weighting should add up to 100%","")</f>
        <v/>
      </c>
    </row>
    <row r="20" spans="1:46" x14ac:dyDescent="0.35">
      <c r="A20" s="3" t="s">
        <v>956</v>
      </c>
    </row>
    <row r="21" spans="1:46" ht="29" x14ac:dyDescent="0.35">
      <c r="B21" s="119" t="s">
        <v>687</v>
      </c>
      <c r="C21" s="119" t="s">
        <v>688</v>
      </c>
      <c r="D21" s="119" t="s">
        <v>689</v>
      </c>
      <c r="E21" s="119" t="s">
        <v>690</v>
      </c>
      <c r="F21" s="119" t="s">
        <v>616</v>
      </c>
      <c r="G21" s="119" t="s">
        <v>691</v>
      </c>
      <c r="H21" s="119" t="s">
        <v>692</v>
      </c>
    </row>
    <row r="22" spans="1:46" x14ac:dyDescent="0.35">
      <c r="B22" s="348">
        <f t="shared" ref="B22:H22" si="3">1/7</f>
        <v>0.14285714285714285</v>
      </c>
      <c r="C22" s="348">
        <f t="shared" si="3"/>
        <v>0.14285714285714285</v>
      </c>
      <c r="D22" s="348">
        <f t="shared" si="3"/>
        <v>0.14285714285714285</v>
      </c>
      <c r="E22" s="348">
        <f t="shared" si="3"/>
        <v>0.14285714285714285</v>
      </c>
      <c r="F22" s="348">
        <f t="shared" si="3"/>
        <v>0.14285714285714285</v>
      </c>
      <c r="G22" s="348">
        <f t="shared" si="3"/>
        <v>0.14285714285714285</v>
      </c>
      <c r="H22" s="348">
        <f t="shared" si="3"/>
        <v>0.14285714285714285</v>
      </c>
      <c r="I22" s="350">
        <f>SUM(B22:H22)</f>
        <v>0.99999999999999978</v>
      </c>
      <c r="J22" s="257" t="str">
        <f>IF(NOT(I22=1),"please check values, impact weightings should add up to 100%","")</f>
        <v/>
      </c>
    </row>
    <row r="24" spans="1:46" x14ac:dyDescent="0.35">
      <c r="B24" s="437" t="s">
        <v>1138</v>
      </c>
    </row>
    <row r="25" spans="1:46" x14ac:dyDescent="0.35">
      <c r="B25" s="345" t="s">
        <v>1139</v>
      </c>
    </row>
    <row r="26" spans="1:46" ht="21" x14ac:dyDescent="0.5">
      <c r="A26" s="116" t="s">
        <v>952</v>
      </c>
    </row>
    <row r="28" spans="1:46" s="125" customFormat="1" x14ac:dyDescent="0.35">
      <c r="A28" s="125" t="s">
        <v>693</v>
      </c>
    </row>
    <row r="29" spans="1:46" s="117" customFormat="1" x14ac:dyDescent="0.35"/>
    <row r="30" spans="1:46" s="117" customFormat="1" x14ac:dyDescent="0.35">
      <c r="A30" s="3" t="s">
        <v>957</v>
      </c>
    </row>
    <row r="31" spans="1:46" s="117" customFormat="1" x14ac:dyDescent="0.35">
      <c r="A31" s="128" t="s">
        <v>959</v>
      </c>
      <c r="K31" s="129" t="s">
        <v>960</v>
      </c>
      <c r="U31" s="130" t="s">
        <v>961</v>
      </c>
      <c r="AD31" s="131" t="s">
        <v>962</v>
      </c>
      <c r="AM31" s="132" t="s">
        <v>963</v>
      </c>
    </row>
    <row r="32" spans="1:46" s="117" customFormat="1" ht="43.5" x14ac:dyDescent="0.35">
      <c r="A32" s="118"/>
      <c r="B32" s="119" t="s">
        <v>687</v>
      </c>
      <c r="C32" s="119" t="s">
        <v>688</v>
      </c>
      <c r="D32" s="119" t="s">
        <v>689</v>
      </c>
      <c r="E32" s="119" t="s">
        <v>690</v>
      </c>
      <c r="F32" s="119" t="s">
        <v>616</v>
      </c>
      <c r="G32" s="119" t="s">
        <v>691</v>
      </c>
      <c r="H32" s="119" t="s">
        <v>692</v>
      </c>
      <c r="K32" s="118"/>
      <c r="L32" s="119" t="s">
        <v>687</v>
      </c>
      <c r="M32" s="119" t="s">
        <v>688</v>
      </c>
      <c r="N32" s="119" t="s">
        <v>689</v>
      </c>
      <c r="O32" s="119" t="s">
        <v>690</v>
      </c>
      <c r="P32" s="119" t="s">
        <v>616</v>
      </c>
      <c r="Q32" s="119" t="s">
        <v>691</v>
      </c>
      <c r="R32" s="119" t="s">
        <v>692</v>
      </c>
      <c r="U32" s="118"/>
      <c r="V32" s="119" t="s">
        <v>687</v>
      </c>
      <c r="W32" s="119" t="s">
        <v>688</v>
      </c>
      <c r="X32" s="119" t="s">
        <v>689</v>
      </c>
      <c r="Y32" s="119" t="s">
        <v>690</v>
      </c>
      <c r="Z32" s="119" t="s">
        <v>616</v>
      </c>
      <c r="AA32" s="119" t="s">
        <v>691</v>
      </c>
      <c r="AB32" s="119" t="s">
        <v>692</v>
      </c>
      <c r="AD32" s="118"/>
      <c r="AE32" s="119" t="s">
        <v>687</v>
      </c>
      <c r="AF32" s="119" t="s">
        <v>688</v>
      </c>
      <c r="AG32" s="119" t="s">
        <v>689</v>
      </c>
      <c r="AH32" s="119" t="s">
        <v>690</v>
      </c>
      <c r="AI32" s="119" t="s">
        <v>616</v>
      </c>
      <c r="AJ32" s="119" t="s">
        <v>691</v>
      </c>
      <c r="AK32" s="119" t="s">
        <v>692</v>
      </c>
      <c r="AM32" s="118"/>
      <c r="AN32" s="119" t="s">
        <v>687</v>
      </c>
      <c r="AO32" s="119" t="s">
        <v>688</v>
      </c>
      <c r="AP32" s="119" t="s">
        <v>689</v>
      </c>
      <c r="AQ32" s="119" t="s">
        <v>690</v>
      </c>
      <c r="AR32" s="119" t="s">
        <v>616</v>
      </c>
      <c r="AS32" s="119" t="s">
        <v>691</v>
      </c>
      <c r="AT32" s="119" t="s">
        <v>692</v>
      </c>
    </row>
    <row r="33" spans="1:47" x14ac:dyDescent="0.35">
      <c r="A33" s="120" t="s">
        <v>860</v>
      </c>
      <c r="B33" s="140">
        <f t="shared" ref="B33:C38" si="4">(1-SUM(B$39:B$41))*$C90/100</f>
        <v>0.30103541681510604</v>
      </c>
      <c r="C33" s="140">
        <f t="shared" si="4"/>
        <v>0.28096638902743232</v>
      </c>
      <c r="D33" s="122">
        <f>IF($D$76&gt;0,(1-D$41)/SUM($D$76:$D$83),0)</f>
        <v>0.13333333333333333</v>
      </c>
      <c r="E33" s="121">
        <f>IF($E$76&gt;0,(1-E$41)/SUM($E$76:$E$83),0)</f>
        <v>0.1</v>
      </c>
      <c r="F33" s="121">
        <f>IF($F$76&gt;0,(1-F$41)/SUM($F$76:$F$83),0)</f>
        <v>0</v>
      </c>
      <c r="G33" s="140">
        <f t="shared" ref="G33:G38" si="5">(1-SUM(G$39:G$41))*$C90/100</f>
        <v>0.30103541681510604</v>
      </c>
      <c r="H33" s="122">
        <f>IF($H$76&gt;0,(1-H$41)/SUM($H$76:$H$83),0)</f>
        <v>0.1142857142857143</v>
      </c>
      <c r="K33" s="120" t="s">
        <v>860</v>
      </c>
      <c r="L33" s="140">
        <f t="shared" ref="L33:M38" si="6">(1-SUM(L$39:L$41))*$D90/100</f>
        <v>0.35302157732789274</v>
      </c>
      <c r="M33" s="140">
        <f t="shared" si="6"/>
        <v>0.32948680550603321</v>
      </c>
      <c r="N33" s="122">
        <f t="shared" ref="N33:N39" si="7">IF($D76&gt;0,(1-N$41)/SUM($D$76:$D$83),0)</f>
        <v>0.13333333333333333</v>
      </c>
      <c r="O33" s="121">
        <f t="shared" ref="O33:O40" si="8">IF($E76&gt;0,(1-O$41)/SUM($E$76:$E$83),0)</f>
        <v>0.1</v>
      </c>
      <c r="P33" s="121">
        <f t="shared" ref="P33:P40" si="9">IF($F76&gt;0,(1-P$41)/SUM($F$76:$F$83),0)</f>
        <v>0</v>
      </c>
      <c r="Q33" s="140">
        <f t="shared" ref="Q33:Q38" si="10">(1-SUM(Q$39:Q$41))*$D90/100</f>
        <v>0.35302157732789274</v>
      </c>
      <c r="R33" s="122">
        <f>IF($H$76&gt;0,(1-R$41)/SUM($H$76:$H$83),0)</f>
        <v>0.1142857142857143</v>
      </c>
      <c r="U33" s="120" t="s">
        <v>860</v>
      </c>
      <c r="V33" s="140">
        <f t="shared" ref="V33:W38" si="11">(1-SUM(V$39:V$41))*$E90/100</f>
        <v>0.32090027093879014</v>
      </c>
      <c r="W33" s="140">
        <f t="shared" si="11"/>
        <v>0.29950691954287084</v>
      </c>
      <c r="X33" s="122">
        <f t="shared" ref="X33:X39" si="12">IF($D76&gt;0,(1-X$41)/SUM($D$76:$D$83),0)</f>
        <v>0.13333333333333333</v>
      </c>
      <c r="Y33" s="121">
        <f t="shared" ref="Y33:Y40" si="13">IF($E76&gt;0,(1-Y$41)/SUM($E$76:$E$83),0)</f>
        <v>0.1</v>
      </c>
      <c r="Z33" s="121">
        <f t="shared" ref="Z33:Z40" si="14">IF($F76&gt;0,(1-Z$41)/SUM($F$76:$F$83),0)</f>
        <v>0</v>
      </c>
      <c r="AA33" s="140">
        <f t="shared" ref="AA33:AA38" si="15">(1-SUM(AA$39:AA$41))*$E90/100</f>
        <v>0.32090027093879014</v>
      </c>
      <c r="AB33" s="122">
        <f>IF($H$76&gt;0,(1-AB$41)/SUM($H$76:$H$83),0)</f>
        <v>0.1142857142857143</v>
      </c>
      <c r="AD33" s="120" t="s">
        <v>860</v>
      </c>
      <c r="AE33" s="140">
        <f t="shared" ref="AE33:AF38" si="16">(1-SUM(AE$39:AE$41))*$F90/100</f>
        <v>0.30590482889877535</v>
      </c>
      <c r="AF33" s="140">
        <f t="shared" si="16"/>
        <v>0.28551117363885697</v>
      </c>
      <c r="AG33" s="122">
        <f t="shared" ref="AG33:AG39" si="17">IF($D76&gt;0,(1-AG$41)/SUM($D$76:$D$83),0)</f>
        <v>0.13333333333333333</v>
      </c>
      <c r="AH33" s="121">
        <f t="shared" ref="AH33:AH40" si="18">IF($E76&gt;0,(1-AH$41)/SUM($E$76:$E$83),0)</f>
        <v>0.1</v>
      </c>
      <c r="AI33" s="121">
        <f t="shared" ref="AI33:AI40" si="19">IF($F76&gt;0,(1-AI$41)/SUM($F$76:$F$83),0)</f>
        <v>0</v>
      </c>
      <c r="AJ33" s="140">
        <f t="shared" ref="AJ33:AJ38" si="20">(1-SUM(AJ$39:AJ$41))*$F90/100</f>
        <v>0.30590482889877535</v>
      </c>
      <c r="AK33" s="122">
        <f>IF($H$76&gt;0,(1-AK$41)/SUM($H$76:$H$83),0)</f>
        <v>0.1142857142857143</v>
      </c>
      <c r="AM33" s="120" t="s">
        <v>860</v>
      </c>
      <c r="AN33" s="140">
        <f t="shared" ref="AN33:AO38" si="21">(1-SUM(AN$39:AN$41))*$G90/100</f>
        <v>0.21476870376631624</v>
      </c>
      <c r="AO33" s="140">
        <f t="shared" si="21"/>
        <v>0.20045079018189516</v>
      </c>
      <c r="AP33" s="122">
        <f t="shared" ref="AP33:AP39" si="22">IF($D76&gt;0,(1-AP$41)/SUM($D$76:$D$83),0)</f>
        <v>0.13333333333333333</v>
      </c>
      <c r="AQ33" s="121">
        <f t="shared" ref="AQ33:AQ40" si="23">IF($E76&gt;0,(1-AQ$41)/SUM($E$76:$E$83),0)</f>
        <v>0.1</v>
      </c>
      <c r="AR33" s="121">
        <f t="shared" ref="AR33:AR40" si="24">IF($F76&gt;0,(1-AR$41)/SUM($F$76:$F$83),0)</f>
        <v>0</v>
      </c>
      <c r="AS33" s="140">
        <f t="shared" ref="AS33:AS38" si="25">(1-SUM(AS$39:AS$41))*$G90/100</f>
        <v>0.21476870376631624</v>
      </c>
      <c r="AT33" s="122">
        <f>IF($H$76&gt;0,(1-AT$41)/SUM($H$76:$H$83),0)</f>
        <v>0.1142857142857143</v>
      </c>
    </row>
    <row r="34" spans="1:47" x14ac:dyDescent="0.35">
      <c r="A34" s="120" t="s">
        <v>862</v>
      </c>
      <c r="B34" s="140">
        <f t="shared" si="4"/>
        <v>9.3361837542519324E-2</v>
      </c>
      <c r="C34" s="140">
        <f t="shared" si="4"/>
        <v>8.7137715039684704E-2</v>
      </c>
      <c r="D34" s="122">
        <f>IF($D$77&gt;0,(1-D$41)/SUM($D$76:$D$83),0)</f>
        <v>0.13333333333333333</v>
      </c>
      <c r="E34" s="121">
        <f>IF($E$77&gt;0,(1-E$41)/SUM($E$76:$E$83),0)</f>
        <v>0.1</v>
      </c>
      <c r="F34" s="121">
        <f>IF($F$77&gt;0,(1-F$41)/SUM($F$76:$F$83),0)</f>
        <v>0</v>
      </c>
      <c r="G34" s="140">
        <f t="shared" si="5"/>
        <v>9.3361837542519324E-2</v>
      </c>
      <c r="H34" s="122">
        <f>IF($H$77&gt;0,(1-H$41)/SUM($H$76:$H$83),0)</f>
        <v>0.1142857142857143</v>
      </c>
      <c r="K34" s="120" t="s">
        <v>862</v>
      </c>
      <c r="L34" s="140">
        <f t="shared" si="6"/>
        <v>7.0796532414738864E-2</v>
      </c>
      <c r="M34" s="140">
        <f t="shared" si="6"/>
        <v>6.607676358708961E-2</v>
      </c>
      <c r="N34" s="122">
        <f t="shared" si="7"/>
        <v>0.13333333333333333</v>
      </c>
      <c r="O34" s="121">
        <f t="shared" si="8"/>
        <v>0.1</v>
      </c>
      <c r="P34" s="121">
        <f t="shared" si="9"/>
        <v>0</v>
      </c>
      <c r="Q34" s="140">
        <f t="shared" si="10"/>
        <v>7.0796532414738864E-2</v>
      </c>
      <c r="R34" s="122">
        <f>IF($H$77&gt;0,(1-R$41)/SUM($H$76:$H$83),0)</f>
        <v>0.1142857142857143</v>
      </c>
      <c r="U34" s="120" t="s">
        <v>862</v>
      </c>
      <c r="V34" s="140">
        <f t="shared" si="11"/>
        <v>0.10039699055569329</v>
      </c>
      <c r="W34" s="140">
        <f t="shared" si="11"/>
        <v>9.3703857851980404E-2</v>
      </c>
      <c r="X34" s="122">
        <f t="shared" si="12"/>
        <v>0.13333333333333333</v>
      </c>
      <c r="Y34" s="121">
        <f t="shared" si="13"/>
        <v>0.1</v>
      </c>
      <c r="Z34" s="121">
        <f t="shared" si="14"/>
        <v>0</v>
      </c>
      <c r="AA34" s="140">
        <f t="shared" si="15"/>
        <v>0.10039699055569329</v>
      </c>
      <c r="AB34" s="122">
        <f>IF($H$77&gt;0,(1-AB$41)/SUM($H$76:$H$83),0)</f>
        <v>0.1142857142857143</v>
      </c>
      <c r="AD34" s="120" t="s">
        <v>862</v>
      </c>
      <c r="AE34" s="140">
        <f t="shared" si="16"/>
        <v>0.14108878763567018</v>
      </c>
      <c r="AF34" s="140">
        <f t="shared" si="16"/>
        <v>0.1316828684599588</v>
      </c>
      <c r="AG34" s="122">
        <f t="shared" si="17"/>
        <v>0.13333333333333333</v>
      </c>
      <c r="AH34" s="121">
        <f t="shared" si="18"/>
        <v>0.1</v>
      </c>
      <c r="AI34" s="121">
        <f t="shared" si="19"/>
        <v>0</v>
      </c>
      <c r="AJ34" s="140">
        <f t="shared" si="20"/>
        <v>0.14108878763567018</v>
      </c>
      <c r="AK34" s="122">
        <f>IF($H$77&gt;0,(1-AK$41)/SUM($H$76:$H$83),0)</f>
        <v>0.1142857142857143</v>
      </c>
      <c r="AM34" s="120" t="s">
        <v>862</v>
      </c>
      <c r="AN34" s="140">
        <f t="shared" si="21"/>
        <v>6.0674779343816654E-2</v>
      </c>
      <c r="AO34" s="140">
        <f t="shared" si="21"/>
        <v>5.6629794054228882E-2</v>
      </c>
      <c r="AP34" s="122">
        <f t="shared" si="22"/>
        <v>0.13333333333333333</v>
      </c>
      <c r="AQ34" s="121">
        <f t="shared" si="23"/>
        <v>0.1</v>
      </c>
      <c r="AR34" s="121">
        <f t="shared" si="24"/>
        <v>0</v>
      </c>
      <c r="AS34" s="140">
        <f t="shared" si="25"/>
        <v>6.0674779343816654E-2</v>
      </c>
      <c r="AT34" s="122">
        <f>IF($H$77&gt;0,(1-AT$41)/SUM($H$76:$H$83),0)</f>
        <v>0.1142857142857143</v>
      </c>
    </row>
    <row r="35" spans="1:47" x14ac:dyDescent="0.35">
      <c r="A35" s="120" t="s">
        <v>861</v>
      </c>
      <c r="B35" s="140">
        <f t="shared" si="4"/>
        <v>0</v>
      </c>
      <c r="C35" s="140">
        <f t="shared" si="4"/>
        <v>0</v>
      </c>
      <c r="D35" s="122">
        <f>IF($D$78&gt;0,(1-D$41)/SUM($D$76:$D$83),0)</f>
        <v>0.13333333333333333</v>
      </c>
      <c r="E35" s="121">
        <f>IF($E$78&gt;0,(1-E$41)/SUM($E$76:$E$83),0)</f>
        <v>0.1</v>
      </c>
      <c r="F35" s="121">
        <f>IF($F$78&gt;0,(1-F$41)/SUM($F$76:$F$83),0)</f>
        <v>0</v>
      </c>
      <c r="G35" s="140">
        <f t="shared" si="5"/>
        <v>0</v>
      </c>
      <c r="H35" s="122">
        <f>IF($H$78&gt;0,(1-H$41)/SUM($H$76:$H$83),0)</f>
        <v>0.1142857142857143</v>
      </c>
      <c r="K35" s="120" t="s">
        <v>861</v>
      </c>
      <c r="L35" s="140">
        <f t="shared" si="6"/>
        <v>1.5305372798067034E-2</v>
      </c>
      <c r="M35" s="140">
        <f t="shared" si="6"/>
        <v>1.428501461152923E-2</v>
      </c>
      <c r="N35" s="122">
        <f t="shared" si="7"/>
        <v>0.13333333333333333</v>
      </c>
      <c r="O35" s="121">
        <f t="shared" si="8"/>
        <v>0.1</v>
      </c>
      <c r="P35" s="121">
        <f t="shared" si="9"/>
        <v>0</v>
      </c>
      <c r="Q35" s="140">
        <f t="shared" si="10"/>
        <v>1.5305372798067034E-2</v>
      </c>
      <c r="R35" s="122">
        <f>IF($H$78&gt;0,(1-R$41)/SUM($H$76:$H$83),0)</f>
        <v>0.1142857142857143</v>
      </c>
      <c r="U35" s="120" t="s">
        <v>861</v>
      </c>
      <c r="V35" s="140">
        <f t="shared" si="11"/>
        <v>6.9644725609531666E-2</v>
      </c>
      <c r="W35" s="140">
        <f t="shared" si="11"/>
        <v>6.500174390222957E-2</v>
      </c>
      <c r="X35" s="122">
        <f t="shared" si="12"/>
        <v>0.13333333333333333</v>
      </c>
      <c r="Y35" s="121">
        <f t="shared" si="13"/>
        <v>0.1</v>
      </c>
      <c r="Z35" s="121">
        <f t="shared" si="14"/>
        <v>0</v>
      </c>
      <c r="AA35" s="140">
        <f t="shared" si="15"/>
        <v>6.9644725609531666E-2</v>
      </c>
      <c r="AB35" s="122">
        <f>IF($H$78&gt;0,(1-AB$41)/SUM($H$76:$H$83),0)</f>
        <v>0.1142857142857143</v>
      </c>
      <c r="AD35" s="120" t="s">
        <v>861</v>
      </c>
      <c r="AE35" s="140">
        <f t="shared" si="16"/>
        <v>0</v>
      </c>
      <c r="AF35" s="140">
        <f t="shared" si="16"/>
        <v>0</v>
      </c>
      <c r="AG35" s="122">
        <f t="shared" si="17"/>
        <v>0.13333333333333333</v>
      </c>
      <c r="AH35" s="121">
        <f t="shared" si="18"/>
        <v>0.1</v>
      </c>
      <c r="AI35" s="121">
        <f t="shared" si="19"/>
        <v>0</v>
      </c>
      <c r="AJ35" s="140">
        <f t="shared" si="20"/>
        <v>0</v>
      </c>
      <c r="AK35" s="122">
        <f>IF($H$78&gt;0,(1-AK$41)/SUM($H$76:$H$83),0)</f>
        <v>0.1142857142857143</v>
      </c>
      <c r="AM35" s="120" t="s">
        <v>861</v>
      </c>
      <c r="AN35" s="140">
        <f t="shared" si="21"/>
        <v>0.15239946470676105</v>
      </c>
      <c r="AO35" s="140">
        <f t="shared" si="21"/>
        <v>0.14223950039297698</v>
      </c>
      <c r="AP35" s="122">
        <f t="shared" si="22"/>
        <v>0.13333333333333333</v>
      </c>
      <c r="AQ35" s="121">
        <f t="shared" si="23"/>
        <v>0.1</v>
      </c>
      <c r="AR35" s="121">
        <f t="shared" si="24"/>
        <v>0</v>
      </c>
      <c r="AS35" s="140">
        <f t="shared" si="25"/>
        <v>0.15239946470676105</v>
      </c>
      <c r="AT35" s="122">
        <f>IF($H$78&gt;0,(1-AT$41)/SUM($H$76:$H$83),0)</f>
        <v>0.1142857142857143</v>
      </c>
    </row>
    <row r="36" spans="1:47" x14ac:dyDescent="0.35">
      <c r="A36" s="120" t="s">
        <v>224</v>
      </c>
      <c r="B36" s="140">
        <f t="shared" si="4"/>
        <v>0.18858232533074126</v>
      </c>
      <c r="C36" s="140">
        <f t="shared" si="4"/>
        <v>0.17601017030869184</v>
      </c>
      <c r="D36" s="122">
        <f>IF($D$79&gt;0,(1-D$41)/SUM($D$76:$D$83),0)</f>
        <v>0.13333333333333333</v>
      </c>
      <c r="E36" s="121">
        <f>IF($E$79&gt;0,(1-E$41)/SUM($E$76:$E$83),0)</f>
        <v>0.1</v>
      </c>
      <c r="F36" s="121">
        <f>IF($F$79&gt;0,(1-F$41)/SUM($F$76:$F$83),0)</f>
        <v>0.4</v>
      </c>
      <c r="G36" s="140">
        <f t="shared" si="5"/>
        <v>0.18858232533074126</v>
      </c>
      <c r="H36" s="122">
        <f>IF($H$79&gt;0,(1-H$41)/SUM($H$76:$H$83),0)</f>
        <v>0.1142857142857143</v>
      </c>
      <c r="K36" s="120" t="s">
        <v>224</v>
      </c>
      <c r="L36" s="140">
        <f t="shared" si="6"/>
        <v>0.18517655174333636</v>
      </c>
      <c r="M36" s="140">
        <f t="shared" si="6"/>
        <v>0.17283144829378061</v>
      </c>
      <c r="N36" s="122">
        <f t="shared" si="7"/>
        <v>0.13333333333333333</v>
      </c>
      <c r="O36" s="121">
        <f t="shared" si="8"/>
        <v>0.1</v>
      </c>
      <c r="P36" s="121">
        <f t="shared" si="9"/>
        <v>0.4</v>
      </c>
      <c r="Q36" s="140">
        <f t="shared" si="10"/>
        <v>0.18517655174333636</v>
      </c>
      <c r="R36" s="122">
        <f>IF($H$79&gt;0,(1-R$41)/SUM($H$76:$H$83),0)</f>
        <v>0.1142857142857143</v>
      </c>
      <c r="U36" s="120" t="s">
        <v>224</v>
      </c>
      <c r="V36" s="140">
        <f t="shared" si="11"/>
        <v>9.3181955582123221E-2</v>
      </c>
      <c r="W36" s="140">
        <f t="shared" si="11"/>
        <v>8.6969825209981658E-2</v>
      </c>
      <c r="X36" s="122">
        <f t="shared" si="12"/>
        <v>0.13333333333333333</v>
      </c>
      <c r="Y36" s="121">
        <f t="shared" si="13"/>
        <v>0.1</v>
      </c>
      <c r="Z36" s="121">
        <f t="shared" si="14"/>
        <v>0.4</v>
      </c>
      <c r="AA36" s="140">
        <f t="shared" si="15"/>
        <v>9.3181955582123221E-2</v>
      </c>
      <c r="AB36" s="122">
        <f>IF($H$79&gt;0,(1-AB$41)/SUM($H$76:$H$83),0)</f>
        <v>0.1142857142857143</v>
      </c>
      <c r="AD36" s="120" t="s">
        <v>224</v>
      </c>
      <c r="AE36" s="140">
        <f t="shared" si="16"/>
        <v>0.19163274731579277</v>
      </c>
      <c r="AF36" s="140">
        <f t="shared" si="16"/>
        <v>0.17885723082807328</v>
      </c>
      <c r="AG36" s="122">
        <f t="shared" si="17"/>
        <v>0.13333333333333333</v>
      </c>
      <c r="AH36" s="121">
        <f t="shared" si="18"/>
        <v>0.1</v>
      </c>
      <c r="AI36" s="121">
        <f t="shared" si="19"/>
        <v>0.4</v>
      </c>
      <c r="AJ36" s="140">
        <f t="shared" si="20"/>
        <v>0.19163274731579277</v>
      </c>
      <c r="AK36" s="122">
        <f>IF($H$79&gt;0,(1-AK$41)/SUM($H$76:$H$83),0)</f>
        <v>0.1142857142857143</v>
      </c>
      <c r="AM36" s="120" t="s">
        <v>224</v>
      </c>
      <c r="AN36" s="140">
        <f t="shared" si="21"/>
        <v>0.11265636589939469</v>
      </c>
      <c r="AO36" s="140">
        <f t="shared" si="21"/>
        <v>0.10514594150610171</v>
      </c>
      <c r="AP36" s="122">
        <f t="shared" si="22"/>
        <v>0.13333333333333333</v>
      </c>
      <c r="AQ36" s="121">
        <f t="shared" si="23"/>
        <v>0.1</v>
      </c>
      <c r="AR36" s="121">
        <f t="shared" si="24"/>
        <v>0.4</v>
      </c>
      <c r="AS36" s="140">
        <f t="shared" si="25"/>
        <v>0.11265636589939469</v>
      </c>
      <c r="AT36" s="122">
        <f>IF($H$79&gt;0,(1-AT$41)/SUM($H$76:$H$83),0)</f>
        <v>0.1142857142857143</v>
      </c>
    </row>
    <row r="37" spans="1:47" x14ac:dyDescent="0.35">
      <c r="A37" s="120" t="s">
        <v>293</v>
      </c>
      <c r="B37" s="140">
        <f>(1-SUM(B$39:B$41))*$C94/100</f>
        <v>3.7249721932613146E-2</v>
      </c>
      <c r="C37" s="140">
        <f t="shared" si="4"/>
        <v>3.4766407137105604E-2</v>
      </c>
      <c r="D37" s="122">
        <f>IF($D$80&gt;0,(1-D$41)/SUM($D$76:$D$83),0)</f>
        <v>0.13333333333333333</v>
      </c>
      <c r="E37" s="121">
        <f>IF($E$80&gt;0,(1-E$41)/SUM($E$76:$E$83),0)</f>
        <v>0.1</v>
      </c>
      <c r="F37" s="121">
        <f>IF($F$80&gt;0,(1-F$41)/SUM($F$76:$F$83),0)</f>
        <v>0</v>
      </c>
      <c r="G37" s="140">
        <f t="shared" si="5"/>
        <v>3.7249721932613146E-2</v>
      </c>
      <c r="H37" s="122">
        <f>IF($H$80&gt;0,(1-H$41)/SUM($H$76:$H$83),0)</f>
        <v>0</v>
      </c>
      <c r="K37" s="120" t="s">
        <v>293</v>
      </c>
      <c r="L37" s="140">
        <f t="shared" si="6"/>
        <v>1.4267668522358088E-2</v>
      </c>
      <c r="M37" s="140">
        <f t="shared" si="6"/>
        <v>1.3316490620867549E-2</v>
      </c>
      <c r="N37" s="122">
        <f t="shared" si="7"/>
        <v>0.13333333333333333</v>
      </c>
      <c r="O37" s="121">
        <f t="shared" si="8"/>
        <v>0.1</v>
      </c>
      <c r="P37" s="121">
        <f t="shared" si="9"/>
        <v>0</v>
      </c>
      <c r="Q37" s="140">
        <f t="shared" si="10"/>
        <v>1.4267668522358088E-2</v>
      </c>
      <c r="R37" s="122">
        <f>IF($H$80&gt;0,(1-R$41)/SUM($H$76:$H$83),0)</f>
        <v>0</v>
      </c>
      <c r="U37" s="120" t="s">
        <v>293</v>
      </c>
      <c r="V37" s="140">
        <f t="shared" si="11"/>
        <v>2.6993736440297279E-2</v>
      </c>
      <c r="W37" s="140">
        <f t="shared" si="11"/>
        <v>2.5194154010944127E-2</v>
      </c>
      <c r="X37" s="122">
        <f t="shared" si="12"/>
        <v>0.13333333333333333</v>
      </c>
      <c r="Y37" s="121">
        <f t="shared" si="13"/>
        <v>0.1</v>
      </c>
      <c r="Z37" s="121">
        <f t="shared" si="14"/>
        <v>0</v>
      </c>
      <c r="AA37" s="140">
        <f t="shared" si="15"/>
        <v>2.6993736440297279E-2</v>
      </c>
      <c r="AB37" s="122">
        <f>IF($H$80&gt;0,(1-AB$41)/SUM($H$76:$H$83),0)</f>
        <v>0</v>
      </c>
      <c r="AD37" s="120" t="s">
        <v>293</v>
      </c>
      <c r="AE37" s="140">
        <f t="shared" si="16"/>
        <v>6.2886430459743068E-3</v>
      </c>
      <c r="AF37" s="140">
        <f t="shared" si="16"/>
        <v>5.8694001762426866E-3</v>
      </c>
      <c r="AG37" s="122">
        <f t="shared" si="17"/>
        <v>0.13333333333333333</v>
      </c>
      <c r="AH37" s="121">
        <f t="shared" si="18"/>
        <v>0.1</v>
      </c>
      <c r="AI37" s="121">
        <f t="shared" si="19"/>
        <v>0</v>
      </c>
      <c r="AJ37" s="140">
        <f t="shared" si="20"/>
        <v>6.2886430459743068E-3</v>
      </c>
      <c r="AK37" s="122">
        <f>IF($H$80&gt;0,(1-AK$41)/SUM($H$76:$H$83),0)</f>
        <v>0</v>
      </c>
      <c r="AM37" s="120" t="s">
        <v>293</v>
      </c>
      <c r="AN37" s="140">
        <f t="shared" si="21"/>
        <v>9.369733465389541E-3</v>
      </c>
      <c r="AO37" s="140">
        <f t="shared" si="21"/>
        <v>8.7450845676969036E-3</v>
      </c>
      <c r="AP37" s="122">
        <f t="shared" si="22"/>
        <v>0.13333333333333333</v>
      </c>
      <c r="AQ37" s="121">
        <f t="shared" si="23"/>
        <v>0.1</v>
      </c>
      <c r="AR37" s="121">
        <f t="shared" si="24"/>
        <v>0</v>
      </c>
      <c r="AS37" s="140">
        <f t="shared" si="25"/>
        <v>9.369733465389541E-3</v>
      </c>
      <c r="AT37" s="122">
        <f>IF($H$80&gt;0,(1-AT$41)/SUM($H$76:$H$83),0)</f>
        <v>0</v>
      </c>
    </row>
    <row r="38" spans="1:47" x14ac:dyDescent="0.35">
      <c r="A38" s="120" t="s">
        <v>924</v>
      </c>
      <c r="B38" s="140">
        <f t="shared" si="4"/>
        <v>0.12977069837902019</v>
      </c>
      <c r="C38" s="140">
        <f t="shared" si="4"/>
        <v>0.12111931848708551</v>
      </c>
      <c r="D38" s="122">
        <f>IF($D$81&gt;0,(1-D$41)/SUM($D$76:$D$83),0)</f>
        <v>0</v>
      </c>
      <c r="E38" s="121">
        <f>IF($E$81&gt;0,(1-E$41)/SUM($E$76:$E$83),0)</f>
        <v>0.1</v>
      </c>
      <c r="F38" s="121">
        <f>IF($F$81&gt;0,(1-F$41)/SUM($F$76:$F$83),0)</f>
        <v>0</v>
      </c>
      <c r="G38" s="140">
        <f t="shared" si="5"/>
        <v>0.12977069837902019</v>
      </c>
      <c r="H38" s="122">
        <f>IF($H$81&gt;0,(1-H$41)/SUM($H$76:$H$83),0)</f>
        <v>0.1142857142857143</v>
      </c>
      <c r="K38" s="120" t="s">
        <v>924</v>
      </c>
      <c r="L38" s="140">
        <f t="shared" si="6"/>
        <v>0.11143229719360685</v>
      </c>
      <c r="M38" s="140">
        <f t="shared" si="6"/>
        <v>0.10400347738069972</v>
      </c>
      <c r="N38" s="122">
        <f t="shared" si="7"/>
        <v>0</v>
      </c>
      <c r="O38" s="121">
        <f t="shared" si="8"/>
        <v>0.1</v>
      </c>
      <c r="P38" s="121">
        <f t="shared" si="9"/>
        <v>0</v>
      </c>
      <c r="Q38" s="140">
        <f t="shared" si="10"/>
        <v>0.11143229719360685</v>
      </c>
      <c r="R38" s="122">
        <f>IF($H$81&gt;0,(1-R$41)/SUM($H$76:$H$83),0)</f>
        <v>0.1142857142857143</v>
      </c>
      <c r="U38" s="120" t="s">
        <v>924</v>
      </c>
      <c r="V38" s="140">
        <f t="shared" si="11"/>
        <v>0.13888232087356431</v>
      </c>
      <c r="W38" s="140">
        <f t="shared" si="11"/>
        <v>0.12962349948199337</v>
      </c>
      <c r="X38" s="122">
        <f t="shared" si="12"/>
        <v>0</v>
      </c>
      <c r="Y38" s="121">
        <f t="shared" si="13"/>
        <v>0.1</v>
      </c>
      <c r="Z38" s="121">
        <f t="shared" si="14"/>
        <v>0</v>
      </c>
      <c r="AA38" s="140">
        <f t="shared" si="15"/>
        <v>0.13888232087356431</v>
      </c>
      <c r="AB38" s="122">
        <f>IF($H$81&gt;0,(1-AB$41)/SUM($H$76:$H$83),0)</f>
        <v>0.1142857142857143</v>
      </c>
      <c r="AD38" s="120" t="s">
        <v>924</v>
      </c>
      <c r="AE38" s="140">
        <f t="shared" si="16"/>
        <v>0.10508499310378734</v>
      </c>
      <c r="AF38" s="140">
        <f t="shared" si="16"/>
        <v>9.8079326896868185E-2</v>
      </c>
      <c r="AG38" s="122">
        <f t="shared" si="17"/>
        <v>0</v>
      </c>
      <c r="AH38" s="121">
        <f t="shared" si="18"/>
        <v>0.1</v>
      </c>
      <c r="AI38" s="121">
        <f t="shared" si="19"/>
        <v>0</v>
      </c>
      <c r="AJ38" s="140">
        <f t="shared" si="20"/>
        <v>0.10508499310378734</v>
      </c>
      <c r="AK38" s="122">
        <f>IF($H$81&gt;0,(1-AK$41)/SUM($H$76:$H$83),0)</f>
        <v>0.1142857142857143</v>
      </c>
      <c r="AM38" s="120" t="s">
        <v>924</v>
      </c>
      <c r="AN38" s="140">
        <f t="shared" si="21"/>
        <v>0.2001309528183218</v>
      </c>
      <c r="AO38" s="140">
        <f t="shared" si="21"/>
        <v>0.18678888929710033</v>
      </c>
      <c r="AP38" s="122">
        <f t="shared" si="22"/>
        <v>0</v>
      </c>
      <c r="AQ38" s="121">
        <f t="shared" si="23"/>
        <v>0.1</v>
      </c>
      <c r="AR38" s="121">
        <f t="shared" si="24"/>
        <v>0</v>
      </c>
      <c r="AS38" s="140">
        <f t="shared" si="25"/>
        <v>0.2001309528183218</v>
      </c>
      <c r="AT38" s="122">
        <f>IF($H$81&gt;0,(1-AT$41)/SUM($H$76:$H$83),0)</f>
        <v>0.1142857142857143</v>
      </c>
    </row>
    <row r="39" spans="1:47" x14ac:dyDescent="0.35">
      <c r="A39" s="120" t="s">
        <v>954</v>
      </c>
      <c r="B39" s="121">
        <f>IF($B$82&gt;0,0.05,0)</f>
        <v>0.05</v>
      </c>
      <c r="C39" s="121">
        <f>IF($C$82&gt;0,0.05,0)</f>
        <v>0.05</v>
      </c>
      <c r="D39" s="122">
        <f>IF($D$82&gt;0,(1-D$41)/SUM($D$76:$D$83),0)</f>
        <v>0.13333333333333333</v>
      </c>
      <c r="E39" s="121">
        <f>IF($E$82&gt;0,(1-E$41)/SUM($E$76:$E$83),0)</f>
        <v>0.1</v>
      </c>
      <c r="F39" s="121">
        <f>IF($F$82&gt;0,(1-F$41)/SUM($F$76:$F$83),0)</f>
        <v>0.4</v>
      </c>
      <c r="G39" s="121">
        <f>IF($G$82&gt;0,0.05,0)</f>
        <v>0.05</v>
      </c>
      <c r="H39" s="122">
        <f>IF($H$82&gt;0,(1-H$41)/SUM($H$76:$H$83),0)</f>
        <v>0.1142857142857143</v>
      </c>
      <c r="K39" s="120" t="s">
        <v>954</v>
      </c>
      <c r="L39" s="121">
        <f>IF($B$82&gt;0,0.05,0)</f>
        <v>0.05</v>
      </c>
      <c r="M39" s="121">
        <f>IF($C$82&gt;0,0.05,0)</f>
        <v>0.05</v>
      </c>
      <c r="N39" s="122">
        <f t="shared" si="7"/>
        <v>0.13333333333333333</v>
      </c>
      <c r="O39" s="121">
        <f t="shared" si="8"/>
        <v>0.1</v>
      </c>
      <c r="P39" s="121">
        <f t="shared" si="9"/>
        <v>0.4</v>
      </c>
      <c r="Q39" s="121">
        <f>IF($G$82&gt;0,0.05,0)</f>
        <v>0.05</v>
      </c>
      <c r="R39" s="122">
        <f>IF($H$82&gt;0,(1-R$41)/SUM($H$76:$H$83),0)</f>
        <v>0.1142857142857143</v>
      </c>
      <c r="U39" s="120" t="s">
        <v>954</v>
      </c>
      <c r="V39" s="121">
        <f>IF($B$82&gt;0,0.05,0)</f>
        <v>0.05</v>
      </c>
      <c r="W39" s="121">
        <f>IF($C$82&gt;0,0.05,0)</f>
        <v>0.05</v>
      </c>
      <c r="X39" s="122">
        <f t="shared" si="12"/>
        <v>0.13333333333333333</v>
      </c>
      <c r="Y39" s="121">
        <f t="shared" si="13"/>
        <v>0.1</v>
      </c>
      <c r="Z39" s="121">
        <f t="shared" si="14"/>
        <v>0.4</v>
      </c>
      <c r="AA39" s="121">
        <f>IF($G$82&gt;0,0.05,0)</f>
        <v>0.05</v>
      </c>
      <c r="AB39" s="122">
        <f>IF($H$82&gt;0,(1-AB$41)/SUM($H$76:$H$83),0)</f>
        <v>0.1142857142857143</v>
      </c>
      <c r="AD39" s="120" t="s">
        <v>954</v>
      </c>
      <c r="AE39" s="121">
        <f>IF($B$82&gt;0,0.05,0)</f>
        <v>0.05</v>
      </c>
      <c r="AF39" s="121">
        <f>IF($C$82&gt;0,0.05,0)</f>
        <v>0.05</v>
      </c>
      <c r="AG39" s="122">
        <f t="shared" si="17"/>
        <v>0.13333333333333333</v>
      </c>
      <c r="AH39" s="121">
        <f t="shared" si="18"/>
        <v>0.1</v>
      </c>
      <c r="AI39" s="121">
        <f t="shared" si="19"/>
        <v>0.4</v>
      </c>
      <c r="AJ39" s="121">
        <f>IF($G$82&gt;0,0.05,0)</f>
        <v>0.05</v>
      </c>
      <c r="AK39" s="122">
        <f>IF($H$82&gt;0,(1-AK$41)/SUM($H$76:$H$83),0)</f>
        <v>0.1142857142857143</v>
      </c>
      <c r="AM39" s="120" t="s">
        <v>954</v>
      </c>
      <c r="AN39" s="121">
        <f>IF($B$82&gt;0,0.05,0)</f>
        <v>0.05</v>
      </c>
      <c r="AO39" s="121">
        <f>IF($C$82&gt;0,0.05,0)</f>
        <v>0.05</v>
      </c>
      <c r="AP39" s="122">
        <f t="shared" si="22"/>
        <v>0.13333333333333333</v>
      </c>
      <c r="AQ39" s="121">
        <f t="shared" si="23"/>
        <v>0.1</v>
      </c>
      <c r="AR39" s="121">
        <f t="shared" si="24"/>
        <v>0.4</v>
      </c>
      <c r="AS39" s="121">
        <f>IF($G$82&gt;0,0.05,0)</f>
        <v>0.05</v>
      </c>
      <c r="AT39" s="122">
        <f>IF($H$82&gt;0,(1-AT$41)/SUM($H$76:$H$83),0)</f>
        <v>0.1142857142857143</v>
      </c>
    </row>
    <row r="40" spans="1:47" x14ac:dyDescent="0.35">
      <c r="A40" s="120" t="s">
        <v>923</v>
      </c>
      <c r="B40" s="121">
        <f>IF($B$83&gt;0,0.05,0)</f>
        <v>0</v>
      </c>
      <c r="C40" s="121">
        <f>IF($C$83&gt;0,0.05,0)</f>
        <v>0.05</v>
      </c>
      <c r="D40" s="121">
        <f>IF($D$83&gt;0,(1-D$41)/SUM(D$76:D$83),0)</f>
        <v>0</v>
      </c>
      <c r="E40" s="121">
        <f>IF($E$83&gt;0,(1-E$41)/SUM($E$76:$E$83),0)</f>
        <v>0.1</v>
      </c>
      <c r="F40" s="121">
        <f>IF($F$83&gt;0,(1-F$41)/SUM($F$76:$F$83),0)</f>
        <v>0</v>
      </c>
      <c r="G40" s="121">
        <f>IF($G$83&gt;0,0.05,0)</f>
        <v>0</v>
      </c>
      <c r="H40" s="122">
        <f>IF($H$83&gt;0,(1-H$41)/SUM($H$76:$H$83),0)</f>
        <v>0.1142857142857143</v>
      </c>
      <c r="K40" s="120" t="s">
        <v>923</v>
      </c>
      <c r="L40" s="121">
        <f>IF($B$83&gt;0,0.05,0)</f>
        <v>0</v>
      </c>
      <c r="M40" s="121">
        <f>IF($C$83&gt;0,0.05,0)</f>
        <v>0.05</v>
      </c>
      <c r="N40" s="121">
        <f>IF($D83&gt;0,(1-N$41)/SUM(N$76:N$83),0)</f>
        <v>0</v>
      </c>
      <c r="O40" s="121">
        <f t="shared" si="8"/>
        <v>0.1</v>
      </c>
      <c r="P40" s="121">
        <f t="shared" si="9"/>
        <v>0</v>
      </c>
      <c r="Q40" s="121">
        <f>IF($G$83&gt;0,0.05,0)</f>
        <v>0</v>
      </c>
      <c r="R40" s="122">
        <f>IF($H$83&gt;0,(1-R$41)/SUM($H$76:$H$83),0)</f>
        <v>0.1142857142857143</v>
      </c>
      <c r="U40" s="120" t="s">
        <v>923</v>
      </c>
      <c r="V40" s="121">
        <f>IF($B$83&gt;0,0.05,0)</f>
        <v>0</v>
      </c>
      <c r="W40" s="121">
        <f>IF($C$83&gt;0,0.05,0)</f>
        <v>0.05</v>
      </c>
      <c r="X40" s="121">
        <f>IF($D83&gt;0,(1-X$41)/SUM(X$76:X$83),0)</f>
        <v>0</v>
      </c>
      <c r="Y40" s="121">
        <f t="shared" si="13"/>
        <v>0.1</v>
      </c>
      <c r="Z40" s="121">
        <f t="shared" si="14"/>
        <v>0</v>
      </c>
      <c r="AA40" s="121">
        <f>IF($G$83&gt;0,0.05,0)</f>
        <v>0</v>
      </c>
      <c r="AB40" s="122">
        <f>IF($H$83&gt;0,(1-AB$41)/SUM($H$76:$H$83),0)</f>
        <v>0.1142857142857143</v>
      </c>
      <c r="AD40" s="120" t="s">
        <v>923</v>
      </c>
      <c r="AE40" s="121">
        <f>IF($B$83&gt;0,0.05,0)</f>
        <v>0</v>
      </c>
      <c r="AF40" s="121">
        <f>IF($C$83&gt;0,0.05,0)</f>
        <v>0.05</v>
      </c>
      <c r="AG40" s="121">
        <f>IF($D83&gt;0,(1-AG$41)/SUM(AG$76:AG$83),0)</f>
        <v>0</v>
      </c>
      <c r="AH40" s="121">
        <f t="shared" si="18"/>
        <v>0.1</v>
      </c>
      <c r="AI40" s="121">
        <f t="shared" si="19"/>
        <v>0</v>
      </c>
      <c r="AJ40" s="121">
        <f>IF($G$83&gt;0,0.05,0)</f>
        <v>0</v>
      </c>
      <c r="AK40" s="122">
        <f>IF($H$83&gt;0,(1-AK$41)/SUM($H$76:$H$83),0)</f>
        <v>0.1142857142857143</v>
      </c>
      <c r="AM40" s="120" t="s">
        <v>923</v>
      </c>
      <c r="AN40" s="121">
        <f>IF($B$83&gt;0,0.05,0)</f>
        <v>0</v>
      </c>
      <c r="AO40" s="121">
        <f>IF($C$83&gt;0,0.05,0)</f>
        <v>0.05</v>
      </c>
      <c r="AP40" s="121">
        <f>IF($D83&gt;0,(1-AP$41)/SUM(AP$76:AP$83),0)</f>
        <v>0</v>
      </c>
      <c r="AQ40" s="121">
        <f t="shared" si="23"/>
        <v>0.1</v>
      </c>
      <c r="AR40" s="121">
        <f t="shared" si="24"/>
        <v>0</v>
      </c>
      <c r="AS40" s="121">
        <f>IF($G$83&gt;0,0.05,0)</f>
        <v>0</v>
      </c>
      <c r="AT40" s="122">
        <f>IF($H$83&gt;0,(1-AT$41)/SUM($H$76:$H$83),0)</f>
        <v>0.1142857142857143</v>
      </c>
    </row>
    <row r="41" spans="1:47" x14ac:dyDescent="0.35">
      <c r="A41" s="120" t="s">
        <v>953</v>
      </c>
      <c r="B41" s="121">
        <f>IF($B$84&gt;0,0.2,0)</f>
        <v>0.2</v>
      </c>
      <c r="C41" s="121">
        <f>IF($C$84&gt;0,0.2,0)</f>
        <v>0.2</v>
      </c>
      <c r="D41" s="121">
        <v>0.2</v>
      </c>
      <c r="E41" s="121">
        <v>0.2</v>
      </c>
      <c r="F41" s="121">
        <v>0.2</v>
      </c>
      <c r="G41" s="121">
        <f>IF($G$84&gt;0,0.2,0)</f>
        <v>0.2</v>
      </c>
      <c r="H41" s="121">
        <v>0.2</v>
      </c>
      <c r="K41" s="120" t="s">
        <v>953</v>
      </c>
      <c r="L41" s="121">
        <f>IF($B$84&gt;0,0.2,0)</f>
        <v>0.2</v>
      </c>
      <c r="M41" s="121">
        <f>IF($C$84&gt;0,0.2,0)</f>
        <v>0.2</v>
      </c>
      <c r="N41" s="121">
        <v>0.2</v>
      </c>
      <c r="O41" s="121">
        <v>0.2</v>
      </c>
      <c r="P41" s="121">
        <v>0.2</v>
      </c>
      <c r="Q41" s="121">
        <f>IF($G$84&gt;0,0.2,0)</f>
        <v>0.2</v>
      </c>
      <c r="R41" s="121">
        <v>0.2</v>
      </c>
      <c r="U41" s="120" t="s">
        <v>953</v>
      </c>
      <c r="V41" s="121">
        <f>IF($B$84&gt;0,0.2,0)</f>
        <v>0.2</v>
      </c>
      <c r="W41" s="121">
        <f>IF($C$84&gt;0,0.2,0)</f>
        <v>0.2</v>
      </c>
      <c r="X41" s="121">
        <v>0.2</v>
      </c>
      <c r="Y41" s="121">
        <v>0.2</v>
      </c>
      <c r="Z41" s="121">
        <v>0.2</v>
      </c>
      <c r="AA41" s="121">
        <f>IF($G$84&gt;0,0.2,0)</f>
        <v>0.2</v>
      </c>
      <c r="AB41" s="121">
        <v>0.2</v>
      </c>
      <c r="AD41" s="120" t="s">
        <v>953</v>
      </c>
      <c r="AE41" s="121">
        <f>IF($B$84&gt;0,0.2,0)</f>
        <v>0.2</v>
      </c>
      <c r="AF41" s="121">
        <f>IF($C$84&gt;0,0.2,0)</f>
        <v>0.2</v>
      </c>
      <c r="AG41" s="121">
        <v>0.2</v>
      </c>
      <c r="AH41" s="121">
        <v>0.2</v>
      </c>
      <c r="AI41" s="121">
        <v>0.2</v>
      </c>
      <c r="AJ41" s="121">
        <f>IF($G$84&gt;0,0.2,0)</f>
        <v>0.2</v>
      </c>
      <c r="AK41" s="121">
        <v>0.2</v>
      </c>
      <c r="AM41" s="120" t="s">
        <v>953</v>
      </c>
      <c r="AN41" s="121">
        <f>IF($B$84&gt;0,0.2,0)</f>
        <v>0.2</v>
      </c>
      <c r="AO41" s="121">
        <f>IF($C$84&gt;0,0.2,0)</f>
        <v>0.2</v>
      </c>
      <c r="AP41" s="121">
        <v>0.2</v>
      </c>
      <c r="AQ41" s="121">
        <v>0.2</v>
      </c>
      <c r="AR41" s="121">
        <v>0.2</v>
      </c>
      <c r="AS41" s="121">
        <f>IF($G$84&gt;0,0.2,0)</f>
        <v>0.2</v>
      </c>
      <c r="AT41" s="121">
        <v>0.2</v>
      </c>
    </row>
    <row r="42" spans="1:47" s="117" customFormat="1" x14ac:dyDescent="0.35">
      <c r="A42" s="115"/>
      <c r="B42" s="139">
        <f t="shared" ref="B42:H42" si="26">SUM(B33:B41)</f>
        <v>1</v>
      </c>
      <c r="C42" s="139">
        <f t="shared" si="26"/>
        <v>1</v>
      </c>
      <c r="D42" s="139">
        <f t="shared" si="26"/>
        <v>1</v>
      </c>
      <c r="E42" s="139">
        <f t="shared" si="26"/>
        <v>1</v>
      </c>
      <c r="F42" s="139">
        <f t="shared" si="26"/>
        <v>1</v>
      </c>
      <c r="G42" s="139">
        <f t="shared" si="26"/>
        <v>1</v>
      </c>
      <c r="H42" s="139">
        <f t="shared" si="26"/>
        <v>1.0000000000000002</v>
      </c>
      <c r="K42" s="115"/>
      <c r="L42" s="139">
        <f t="shared" ref="L42:R42" si="27">SUM(L33:L41)</f>
        <v>1</v>
      </c>
      <c r="M42" s="139">
        <f t="shared" si="27"/>
        <v>1</v>
      </c>
      <c r="N42" s="139">
        <f t="shared" si="27"/>
        <v>1</v>
      </c>
      <c r="O42" s="139">
        <f t="shared" si="27"/>
        <v>1</v>
      </c>
      <c r="P42" s="139">
        <f t="shared" si="27"/>
        <v>1</v>
      </c>
      <c r="Q42" s="139">
        <f t="shared" si="27"/>
        <v>1</v>
      </c>
      <c r="R42" s="139">
        <f t="shared" si="27"/>
        <v>1.0000000000000002</v>
      </c>
      <c r="U42" s="115"/>
      <c r="V42" s="139">
        <f t="shared" ref="V42:AB42" si="28">SUM(V33:V41)</f>
        <v>1</v>
      </c>
      <c r="W42" s="139">
        <f t="shared" si="28"/>
        <v>1</v>
      </c>
      <c r="X42" s="139">
        <f t="shared" si="28"/>
        <v>1</v>
      </c>
      <c r="Y42" s="139">
        <f t="shared" si="28"/>
        <v>1</v>
      </c>
      <c r="Z42" s="139">
        <f t="shared" si="28"/>
        <v>1</v>
      </c>
      <c r="AA42" s="139">
        <f t="shared" si="28"/>
        <v>1</v>
      </c>
      <c r="AB42" s="139">
        <f t="shared" si="28"/>
        <v>1.0000000000000002</v>
      </c>
      <c r="AD42" s="115"/>
      <c r="AE42" s="139">
        <f t="shared" ref="AE42:AK42" si="29">SUM(AE33:AE41)</f>
        <v>1</v>
      </c>
      <c r="AF42" s="139">
        <f t="shared" si="29"/>
        <v>1</v>
      </c>
      <c r="AG42" s="139">
        <f t="shared" si="29"/>
        <v>1</v>
      </c>
      <c r="AH42" s="139">
        <f t="shared" si="29"/>
        <v>1</v>
      </c>
      <c r="AI42" s="139">
        <f t="shared" si="29"/>
        <v>1</v>
      </c>
      <c r="AJ42" s="139">
        <f t="shared" si="29"/>
        <v>1</v>
      </c>
      <c r="AK42" s="139">
        <f t="shared" si="29"/>
        <v>1.0000000000000002</v>
      </c>
      <c r="AM42" s="115"/>
      <c r="AN42" s="139">
        <f t="shared" ref="AN42:AT42" si="30">SUM(AN33:AN41)</f>
        <v>1</v>
      </c>
      <c r="AO42" s="139">
        <f t="shared" si="30"/>
        <v>1</v>
      </c>
      <c r="AP42" s="139">
        <f t="shared" si="30"/>
        <v>1</v>
      </c>
      <c r="AQ42" s="139">
        <f t="shared" si="30"/>
        <v>1</v>
      </c>
      <c r="AR42" s="139">
        <f t="shared" si="30"/>
        <v>1</v>
      </c>
      <c r="AS42" s="139">
        <f t="shared" si="30"/>
        <v>1</v>
      </c>
      <c r="AT42" s="139">
        <f t="shared" si="30"/>
        <v>1.0000000000000002</v>
      </c>
    </row>
    <row r="44" spans="1:47" x14ac:dyDescent="0.35">
      <c r="A44" s="3" t="s">
        <v>956</v>
      </c>
      <c r="K44" s="3" t="s">
        <v>956</v>
      </c>
      <c r="U44" s="3" t="s">
        <v>956</v>
      </c>
      <c r="AD44" s="3" t="s">
        <v>956</v>
      </c>
      <c r="AM44" s="3" t="s">
        <v>956</v>
      </c>
    </row>
    <row r="45" spans="1:47" ht="43.5" x14ac:dyDescent="0.35">
      <c r="B45" s="119" t="s">
        <v>687</v>
      </c>
      <c r="C45" s="119" t="s">
        <v>688</v>
      </c>
      <c r="D45" s="119" t="s">
        <v>689</v>
      </c>
      <c r="E45" s="119" t="s">
        <v>690</v>
      </c>
      <c r="F45" s="119" t="s">
        <v>616</v>
      </c>
      <c r="G45" s="119" t="s">
        <v>691</v>
      </c>
      <c r="H45" s="119" t="s">
        <v>692</v>
      </c>
      <c r="L45" s="119" t="s">
        <v>687</v>
      </c>
      <c r="M45" s="119" t="s">
        <v>688</v>
      </c>
      <c r="N45" s="119" t="s">
        <v>689</v>
      </c>
      <c r="O45" s="119" t="s">
        <v>690</v>
      </c>
      <c r="P45" s="119" t="s">
        <v>616</v>
      </c>
      <c r="Q45" s="119" t="s">
        <v>691</v>
      </c>
      <c r="R45" s="119" t="s">
        <v>692</v>
      </c>
      <c r="V45" s="119" t="s">
        <v>687</v>
      </c>
      <c r="W45" s="119" t="s">
        <v>688</v>
      </c>
      <c r="X45" s="119" t="s">
        <v>689</v>
      </c>
      <c r="Y45" s="119" t="s">
        <v>690</v>
      </c>
      <c r="Z45" s="119" t="s">
        <v>616</v>
      </c>
      <c r="AA45" s="119" t="s">
        <v>691</v>
      </c>
      <c r="AB45" s="119" t="s">
        <v>692</v>
      </c>
      <c r="AE45" s="119" t="s">
        <v>687</v>
      </c>
      <c r="AF45" s="119" t="s">
        <v>688</v>
      </c>
      <c r="AG45" s="119" t="s">
        <v>689</v>
      </c>
      <c r="AH45" s="119" t="s">
        <v>690</v>
      </c>
      <c r="AI45" s="119" t="s">
        <v>616</v>
      </c>
      <c r="AJ45" s="119" t="s">
        <v>691</v>
      </c>
      <c r="AK45" s="119" t="s">
        <v>692</v>
      </c>
      <c r="AN45" s="119" t="s">
        <v>687</v>
      </c>
      <c r="AO45" s="119" t="s">
        <v>688</v>
      </c>
      <c r="AP45" s="119" t="s">
        <v>689</v>
      </c>
      <c r="AQ45" s="119" t="s">
        <v>690</v>
      </c>
      <c r="AR45" s="119" t="s">
        <v>616</v>
      </c>
      <c r="AS45" s="119" t="s">
        <v>691</v>
      </c>
      <c r="AT45" s="119" t="s">
        <v>692</v>
      </c>
    </row>
    <row r="46" spans="1:47" x14ac:dyDescent="0.35">
      <c r="B46" s="122">
        <f>0.5*(1/3)</f>
        <v>0.16666666666666666</v>
      </c>
      <c r="C46" s="122">
        <f>1/3</f>
        <v>0.33333333333333331</v>
      </c>
      <c r="D46" s="122">
        <f>(1/3)*(1/4)</f>
        <v>8.3333333333333329E-2</v>
      </c>
      <c r="E46" s="122">
        <f>(1/3)*(1/4)</f>
        <v>8.3333333333333329E-2</v>
      </c>
      <c r="F46" s="122">
        <f>(1/3)*(1/4)</f>
        <v>8.3333333333333329E-2</v>
      </c>
      <c r="G46" s="122">
        <f>0.5*(1/3)</f>
        <v>0.16666666666666666</v>
      </c>
      <c r="H46" s="122">
        <f>(1/3)*(1/4)</f>
        <v>8.3333333333333329E-2</v>
      </c>
      <c r="I46" s="123">
        <f>SUM(B46:H46)</f>
        <v>1</v>
      </c>
      <c r="L46" s="122">
        <f>0.5*(1/3)</f>
        <v>0.16666666666666666</v>
      </c>
      <c r="M46" s="122">
        <f>1/3</f>
        <v>0.33333333333333331</v>
      </c>
      <c r="N46" s="122">
        <f>(1/3)*(1/4)</f>
        <v>8.3333333333333329E-2</v>
      </c>
      <c r="O46" s="122">
        <f>(1/3)*(1/4)</f>
        <v>8.3333333333333329E-2</v>
      </c>
      <c r="P46" s="122">
        <f>(1/3)*(1/4)</f>
        <v>8.3333333333333329E-2</v>
      </c>
      <c r="Q46" s="122">
        <f>0.5*(1/3)</f>
        <v>0.16666666666666666</v>
      </c>
      <c r="R46" s="122">
        <f>(1/3)*(1/4)</f>
        <v>8.3333333333333329E-2</v>
      </c>
      <c r="S46" s="123">
        <f>SUM(L46:R46)</f>
        <v>1</v>
      </c>
      <c r="V46" s="122">
        <f>0.5*(1/3)</f>
        <v>0.16666666666666666</v>
      </c>
      <c r="W46" s="122">
        <f>1/3</f>
        <v>0.33333333333333331</v>
      </c>
      <c r="X46" s="122">
        <f>(1/3)*(1/4)</f>
        <v>8.3333333333333329E-2</v>
      </c>
      <c r="Y46" s="122">
        <f>(1/3)*(1/4)</f>
        <v>8.3333333333333329E-2</v>
      </c>
      <c r="Z46" s="122">
        <f>(1/3)*(1/4)</f>
        <v>8.3333333333333329E-2</v>
      </c>
      <c r="AA46" s="122">
        <f>0.5*(1/3)</f>
        <v>0.16666666666666666</v>
      </c>
      <c r="AB46" s="122">
        <f>(1/3)*(1/4)</f>
        <v>8.3333333333333329E-2</v>
      </c>
      <c r="AC46" s="123">
        <f>SUM(V46:AB46)</f>
        <v>1</v>
      </c>
      <c r="AE46" s="122">
        <f>0.5*(1/3)</f>
        <v>0.16666666666666666</v>
      </c>
      <c r="AF46" s="122">
        <f>1/3</f>
        <v>0.33333333333333331</v>
      </c>
      <c r="AG46" s="122">
        <f>(1/3)*(1/4)</f>
        <v>8.3333333333333329E-2</v>
      </c>
      <c r="AH46" s="122">
        <f>(1/3)*(1/4)</f>
        <v>8.3333333333333329E-2</v>
      </c>
      <c r="AI46" s="122">
        <f>(1/3)*(1/4)</f>
        <v>8.3333333333333329E-2</v>
      </c>
      <c r="AJ46" s="122">
        <f>0.5*(1/3)</f>
        <v>0.16666666666666666</v>
      </c>
      <c r="AK46" s="122">
        <f>(1/3)*(1/4)</f>
        <v>8.3333333333333329E-2</v>
      </c>
      <c r="AL46" s="123">
        <f>SUM(AE46:AK46)</f>
        <v>1</v>
      </c>
      <c r="AN46" s="122">
        <f>0.5*(1/3)</f>
        <v>0.16666666666666666</v>
      </c>
      <c r="AO46" s="122">
        <f>1/3</f>
        <v>0.33333333333333331</v>
      </c>
      <c r="AP46" s="122">
        <f>(1/3)*(1/4)</f>
        <v>8.3333333333333329E-2</v>
      </c>
      <c r="AQ46" s="122">
        <f>(1/3)*(1/4)</f>
        <v>8.3333333333333329E-2</v>
      </c>
      <c r="AR46" s="122">
        <f>(1/3)*(1/4)</f>
        <v>8.3333333333333329E-2</v>
      </c>
      <c r="AS46" s="122">
        <f>0.5*(1/3)</f>
        <v>0.16666666666666666</v>
      </c>
      <c r="AT46" s="122">
        <f>(1/3)*(1/4)</f>
        <v>8.3333333333333329E-2</v>
      </c>
      <c r="AU46" s="123">
        <f>SUM(AN46:AT46)</f>
        <v>1</v>
      </c>
    </row>
    <row r="47" spans="1:47" x14ac:dyDescent="0.35">
      <c r="B47" s="124"/>
      <c r="C47" s="124"/>
      <c r="D47" s="124"/>
      <c r="E47" s="124"/>
      <c r="F47" s="124"/>
      <c r="G47" s="124"/>
      <c r="H47" s="124"/>
      <c r="I47" s="123"/>
    </row>
    <row r="48" spans="1:47" x14ac:dyDescent="0.35">
      <c r="B48" s="124"/>
      <c r="C48" s="124"/>
      <c r="D48" s="124"/>
      <c r="E48" s="124"/>
      <c r="F48" s="124"/>
      <c r="G48" s="124"/>
      <c r="H48" s="124"/>
      <c r="I48" s="123"/>
    </row>
    <row r="49" spans="1:46" s="127" customFormat="1" x14ac:dyDescent="0.35">
      <c r="A49" s="127" t="s">
        <v>694</v>
      </c>
    </row>
    <row r="50" spans="1:46" s="117" customFormat="1" x14ac:dyDescent="0.35"/>
    <row r="51" spans="1:46" s="117" customFormat="1" x14ac:dyDescent="0.35">
      <c r="A51" s="3" t="s">
        <v>957</v>
      </c>
    </row>
    <row r="52" spans="1:46" s="117" customFormat="1" x14ac:dyDescent="0.35">
      <c r="A52" s="128" t="s">
        <v>959</v>
      </c>
      <c r="K52" s="129" t="s">
        <v>960</v>
      </c>
      <c r="U52" s="130" t="s">
        <v>961</v>
      </c>
      <c r="AD52" s="131" t="s">
        <v>962</v>
      </c>
      <c r="AM52" s="132" t="s">
        <v>963</v>
      </c>
    </row>
    <row r="53" spans="1:46" s="117" customFormat="1" ht="43.5" x14ac:dyDescent="0.35">
      <c r="A53" s="118"/>
      <c r="B53" s="119" t="s">
        <v>687</v>
      </c>
      <c r="C53" s="119" t="s">
        <v>688</v>
      </c>
      <c r="D53" s="119" t="s">
        <v>689</v>
      </c>
      <c r="E53" s="119" t="s">
        <v>690</v>
      </c>
      <c r="F53" s="119" t="s">
        <v>616</v>
      </c>
      <c r="G53" s="119" t="s">
        <v>691</v>
      </c>
      <c r="H53" s="119" t="s">
        <v>692</v>
      </c>
      <c r="K53" s="118"/>
      <c r="L53" s="119" t="s">
        <v>687</v>
      </c>
      <c r="M53" s="119" t="s">
        <v>688</v>
      </c>
      <c r="N53" s="119" t="s">
        <v>689</v>
      </c>
      <c r="O53" s="119" t="s">
        <v>690</v>
      </c>
      <c r="P53" s="119" t="s">
        <v>616</v>
      </c>
      <c r="Q53" s="119" t="s">
        <v>691</v>
      </c>
      <c r="R53" s="119" t="s">
        <v>692</v>
      </c>
      <c r="U53" s="118"/>
      <c r="V53" s="119" t="s">
        <v>687</v>
      </c>
      <c r="W53" s="119" t="s">
        <v>688</v>
      </c>
      <c r="X53" s="119" t="s">
        <v>689</v>
      </c>
      <c r="Y53" s="119" t="s">
        <v>690</v>
      </c>
      <c r="Z53" s="119" t="s">
        <v>616</v>
      </c>
      <c r="AA53" s="119" t="s">
        <v>691</v>
      </c>
      <c r="AB53" s="119" t="s">
        <v>692</v>
      </c>
      <c r="AD53" s="118"/>
      <c r="AE53" s="119" t="s">
        <v>687</v>
      </c>
      <c r="AF53" s="119" t="s">
        <v>688</v>
      </c>
      <c r="AG53" s="119" t="s">
        <v>689</v>
      </c>
      <c r="AH53" s="119" t="s">
        <v>690</v>
      </c>
      <c r="AI53" s="119" t="s">
        <v>616</v>
      </c>
      <c r="AJ53" s="119" t="s">
        <v>691</v>
      </c>
      <c r="AK53" s="119" t="s">
        <v>692</v>
      </c>
      <c r="AM53" s="118"/>
      <c r="AN53" s="119" t="s">
        <v>687</v>
      </c>
      <c r="AO53" s="119" t="s">
        <v>688</v>
      </c>
      <c r="AP53" s="119" t="s">
        <v>689</v>
      </c>
      <c r="AQ53" s="119" t="s">
        <v>690</v>
      </c>
      <c r="AR53" s="119" t="s">
        <v>616</v>
      </c>
      <c r="AS53" s="119" t="s">
        <v>691</v>
      </c>
      <c r="AT53" s="119" t="s">
        <v>692</v>
      </c>
    </row>
    <row r="54" spans="1:46" x14ac:dyDescent="0.35">
      <c r="A54" s="120" t="s">
        <v>860</v>
      </c>
      <c r="B54" s="140">
        <f t="shared" ref="B54:C59" si="31">(1-SUM(B$60:B$62))*$C100/100</f>
        <v>0.31063256064616018</v>
      </c>
      <c r="C54" s="140">
        <f t="shared" si="31"/>
        <v>0.28992372326974952</v>
      </c>
      <c r="D54" s="122">
        <f>IF($D$76&gt;0,(1-D$62)/SUM($D$76:$D$83),0)</f>
        <v>0.13333333333333333</v>
      </c>
      <c r="E54" s="121">
        <f>IF($E$76&gt;0,(1-E$62)/SUM($E$76:$E$83),0)</f>
        <v>0.1</v>
      </c>
      <c r="F54" s="121">
        <f>IF($F$76&gt;0,(1-F$62)/SUM($F$76:$F$83),0)</f>
        <v>0</v>
      </c>
      <c r="G54" s="140">
        <f t="shared" ref="G54:G59" si="32">(1-SUM(G$60:G$62))*$C100/100</f>
        <v>0.31063256064616018</v>
      </c>
      <c r="H54" s="122">
        <f>IF($H$76&gt;0,(1-H$62)/SUM($H$76:$H$83),0)</f>
        <v>0.1142857142857143</v>
      </c>
      <c r="K54" s="120" t="s">
        <v>860</v>
      </c>
      <c r="L54" s="140">
        <f t="shared" ref="L54:M59" si="33">(1-SUM(L$60:L$62))*$D100/100</f>
        <v>0.27886587579962663</v>
      </c>
      <c r="M54" s="140">
        <f t="shared" si="33"/>
        <v>0.26027481741298486</v>
      </c>
      <c r="N54" s="122">
        <f>IF($D$76&gt;0,(1-N$62)/SUM($D$76:$D$83),0)</f>
        <v>0.13333333333333333</v>
      </c>
      <c r="O54" s="121">
        <f>IF($E$76&gt;0,(1-O$62)/SUM($E$76:$E$83),0)</f>
        <v>0.1</v>
      </c>
      <c r="P54" s="121">
        <f>IF($F$76&gt;0,(1-P$62)/SUM($F$76:$F$83),0)</f>
        <v>0</v>
      </c>
      <c r="Q54" s="140">
        <f t="shared" ref="Q54:Q59" si="34">(1-SUM(Q$60:Q$62))*$D100/100</f>
        <v>0.27886587579962663</v>
      </c>
      <c r="R54" s="122">
        <f>IF($H$76&gt;0,(1-R$62)/SUM($H$76:$H$83),0)</f>
        <v>0.1142857142857143</v>
      </c>
      <c r="U54" s="120" t="s">
        <v>860</v>
      </c>
      <c r="V54" s="140">
        <f t="shared" ref="V54:W59" si="35">(1-SUM(V$60:V$62))*$E100/100</f>
        <v>0.31109067404097163</v>
      </c>
      <c r="W54" s="140">
        <f t="shared" si="35"/>
        <v>0.29035129577157348</v>
      </c>
      <c r="X54" s="122">
        <f>IF($D$76&gt;0,(1-X$62)/SUM($D$76:$D$83),0)</f>
        <v>0.13333333333333333</v>
      </c>
      <c r="Y54" s="121">
        <f>IF($E$76&gt;0,(1-Y$62)/SUM($E$76:$E$83),0)</f>
        <v>0.1</v>
      </c>
      <c r="Z54" s="121">
        <f>IF($F$76&gt;0,(1-Z$62)/SUM($F$76:$F$83),0)</f>
        <v>0</v>
      </c>
      <c r="AA54" s="140">
        <f t="shared" ref="AA54:AA59" si="36">(1-SUM(AA$60:AA$62))*$E100/100</f>
        <v>0.31109067404097163</v>
      </c>
      <c r="AB54" s="122">
        <f>IF($H$76&gt;0,(1-AB$62)/SUM($H$76:$H$83),0)</f>
        <v>0.1142857142857143</v>
      </c>
      <c r="AD54" s="120" t="s">
        <v>860</v>
      </c>
      <c r="AE54" s="140">
        <f t="shared" ref="AE54:AF59" si="37">(1-SUM(AE$60:AE$62))*$F100/100</f>
        <v>0.30025736854769419</v>
      </c>
      <c r="AF54" s="140">
        <f t="shared" si="37"/>
        <v>0.28024021064451454</v>
      </c>
      <c r="AG54" s="122">
        <f>IF($D$76&gt;0,(1-AG$62)/SUM($D$76:$D$83),0)</f>
        <v>0.13333333333333333</v>
      </c>
      <c r="AH54" s="121">
        <f>IF($E$76&gt;0,(1-AH$62)/SUM($E$76:$E$83),0)</f>
        <v>0.1</v>
      </c>
      <c r="AI54" s="121">
        <f>IF($F$76&gt;0,(1-AI$62)/SUM($F$76:$F$83),0)</f>
        <v>0</v>
      </c>
      <c r="AJ54" s="140">
        <f t="shared" ref="AJ54:AJ59" si="38">(1-SUM(AJ$60:AJ$62))*$F100/100</f>
        <v>0.30025736854769419</v>
      </c>
      <c r="AK54" s="122">
        <f>IF($H$76&gt;0,(1-AK$62)/SUM($H$76:$H$83),0)</f>
        <v>0.1142857142857143</v>
      </c>
      <c r="AM54" s="120" t="s">
        <v>860</v>
      </c>
      <c r="AN54" s="140">
        <f t="shared" ref="AN54:AO59" si="39">(1-SUM(AN$60:AN$62))*$G100/100</f>
        <v>0.29191123098028166</v>
      </c>
      <c r="AO54" s="140">
        <f t="shared" si="39"/>
        <v>0.2724504822482629</v>
      </c>
      <c r="AP54" s="122">
        <f>IF($D$76&gt;0,(1-AP$62)/SUM($D$76:$D$83),0)</f>
        <v>0.13333333333333333</v>
      </c>
      <c r="AQ54" s="121">
        <f>IF($E$76&gt;0,(1-AQ$62)/SUM($E$76:$E$83),0)</f>
        <v>0.1</v>
      </c>
      <c r="AR54" s="121">
        <f>IF($F$76&gt;0,(1-AR$62)/SUM($F$76:$F$83),0)</f>
        <v>0</v>
      </c>
      <c r="AS54" s="140">
        <f t="shared" ref="AS54:AS59" si="40">(1-SUM(AS$60:AS$62))*$G100/100</f>
        <v>0.29191123098028166</v>
      </c>
      <c r="AT54" s="122">
        <f>IF($H$76&gt;0,(1-AT$62)/SUM($H$76:$H$83),0)</f>
        <v>0.1142857142857143</v>
      </c>
    </row>
    <row r="55" spans="1:46" x14ac:dyDescent="0.35">
      <c r="A55" s="120" t="s">
        <v>862</v>
      </c>
      <c r="B55" s="140">
        <f t="shared" si="31"/>
        <v>5.4430404220184914E-2</v>
      </c>
      <c r="C55" s="140">
        <f t="shared" si="31"/>
        <v>5.0801710605505909E-2</v>
      </c>
      <c r="D55" s="122">
        <f>IF($D$77&gt;0,(1-D$62)/SUM($D$76:$D$83),0)</f>
        <v>0.13333333333333333</v>
      </c>
      <c r="E55" s="121">
        <f>IF($E$77&gt;0,(1-E$62)/SUM($E$76:$E$83),0)</f>
        <v>0.1</v>
      </c>
      <c r="F55" s="121">
        <f>IF($F$77&gt;0,(1-F$62)/SUM($F$76:$F$83),0)</f>
        <v>0</v>
      </c>
      <c r="G55" s="140">
        <f t="shared" si="32"/>
        <v>5.4430404220184914E-2</v>
      </c>
      <c r="H55" s="122">
        <f>IF($H$77&gt;0,(1-H$62)/SUM($H$76:$H$83),0)</f>
        <v>0.1142857142857143</v>
      </c>
      <c r="K55" s="120" t="s">
        <v>862</v>
      </c>
      <c r="L55" s="140">
        <f t="shared" si="33"/>
        <v>7.8364835721060969E-2</v>
      </c>
      <c r="M55" s="140">
        <f t="shared" si="33"/>
        <v>7.3140513339656904E-2</v>
      </c>
      <c r="N55" s="122">
        <f>IF($D$77&gt;0,(1-N$62)/SUM($D$76:$D$83),0)</f>
        <v>0.13333333333333333</v>
      </c>
      <c r="O55" s="121">
        <f>IF($E$77&gt;0,(1-O$62)/SUM($E$76:$E$83),0)</f>
        <v>0.1</v>
      </c>
      <c r="P55" s="121">
        <f>IF($F$77&gt;0,(1-P$62)/SUM($F$76:$F$83),0)</f>
        <v>0</v>
      </c>
      <c r="Q55" s="140">
        <f t="shared" si="34"/>
        <v>7.8364835721060969E-2</v>
      </c>
      <c r="R55" s="122">
        <f>IF($H$77&gt;0,(1-R$62)/SUM($H$76:$H$83),0)</f>
        <v>0.1142857142857143</v>
      </c>
      <c r="U55" s="120" t="s">
        <v>862</v>
      </c>
      <c r="V55" s="140">
        <f t="shared" si="35"/>
        <v>0.10262676347947274</v>
      </c>
      <c r="W55" s="140">
        <f t="shared" si="35"/>
        <v>9.5784979247507882E-2</v>
      </c>
      <c r="X55" s="122">
        <f>IF($D$77&gt;0,(1-X$62)/SUM($D$76:$D$83),0)</f>
        <v>0.13333333333333333</v>
      </c>
      <c r="Y55" s="121">
        <f>IF($E$77&gt;0,(1-Y$62)/SUM($E$76:$E$83),0)</f>
        <v>0.1</v>
      </c>
      <c r="Z55" s="121">
        <f>IF($F$77&gt;0,(1-Z$62)/SUM($F$76:$F$83),0)</f>
        <v>0</v>
      </c>
      <c r="AA55" s="140">
        <f t="shared" si="36"/>
        <v>0.10262676347947274</v>
      </c>
      <c r="AB55" s="122">
        <f>IF($H$77&gt;0,(1-AB$62)/SUM($H$76:$H$83),0)</f>
        <v>0.1142857142857143</v>
      </c>
      <c r="AD55" s="120" t="s">
        <v>862</v>
      </c>
      <c r="AE55" s="140">
        <f t="shared" si="37"/>
        <v>9.1068302039050711E-2</v>
      </c>
      <c r="AF55" s="140">
        <f t="shared" si="37"/>
        <v>8.4997081903113988E-2</v>
      </c>
      <c r="AG55" s="122">
        <f>IF($D$77&gt;0,(1-AG$62)/SUM($D$76:$D$83),0)</f>
        <v>0.13333333333333333</v>
      </c>
      <c r="AH55" s="121">
        <f>IF($E$77&gt;0,(1-AH$62)/SUM($E$76:$E$83),0)</f>
        <v>0.1</v>
      </c>
      <c r="AI55" s="121">
        <f>IF($F$77&gt;0,(1-AI$62)/SUM($F$76:$F$83),0)</f>
        <v>0</v>
      </c>
      <c r="AJ55" s="140">
        <f t="shared" si="38"/>
        <v>9.1068302039050711E-2</v>
      </c>
      <c r="AK55" s="122">
        <f>IF($H$77&gt;0,(1-AK$62)/SUM($H$76:$H$83),0)</f>
        <v>0.1142857142857143</v>
      </c>
      <c r="AM55" s="120" t="s">
        <v>862</v>
      </c>
      <c r="AN55" s="140">
        <f t="shared" si="39"/>
        <v>0.11110376087209307</v>
      </c>
      <c r="AO55" s="140">
        <f t="shared" si="39"/>
        <v>0.10369684348062019</v>
      </c>
      <c r="AP55" s="122">
        <f>IF($D$77&gt;0,(1-AP$62)/SUM($D$76:$D$83),0)</f>
        <v>0.13333333333333333</v>
      </c>
      <c r="AQ55" s="121">
        <f>IF($E$77&gt;0,(1-AQ$62)/SUM($E$76:$E$83),0)</f>
        <v>0.1</v>
      </c>
      <c r="AR55" s="121">
        <f>IF($F$77&gt;0,(1-AR$62)/SUM($F$76:$F$83),0)</f>
        <v>0</v>
      </c>
      <c r="AS55" s="140">
        <f t="shared" si="40"/>
        <v>0.11110376087209307</v>
      </c>
      <c r="AT55" s="122">
        <f>IF($H$77&gt;0,(1-AT$62)/SUM($H$76:$H$83),0)</f>
        <v>0.1142857142857143</v>
      </c>
    </row>
    <row r="56" spans="1:46" x14ac:dyDescent="0.35">
      <c r="A56" s="120" t="s">
        <v>861</v>
      </c>
      <c r="B56" s="140">
        <f t="shared" si="31"/>
        <v>9.3403132610521883E-2</v>
      </c>
      <c r="C56" s="140">
        <f t="shared" si="31"/>
        <v>8.7176257103153743E-2</v>
      </c>
      <c r="D56" s="122">
        <f>IF($D$78&gt;0,(1-D$62)/SUM($D$76:$D$83),0)</f>
        <v>0.13333333333333333</v>
      </c>
      <c r="E56" s="121">
        <f>IF($E$78&gt;0,(1-E$62)/SUM($E$76:$E$83),0)</f>
        <v>0.1</v>
      </c>
      <c r="F56" s="121">
        <f>IF($F$78&gt;0,(1-F$62)/SUM($F$76:$F$83),0)</f>
        <v>0</v>
      </c>
      <c r="G56" s="140">
        <f t="shared" si="32"/>
        <v>9.3403132610521883E-2</v>
      </c>
      <c r="H56" s="122">
        <f>IF($H$78&gt;0,(1-H$62)/SUM($H$76:$H$83),0)</f>
        <v>0.1142857142857143</v>
      </c>
      <c r="K56" s="120" t="s">
        <v>861</v>
      </c>
      <c r="L56" s="140">
        <f t="shared" si="33"/>
        <v>0.11843118662606399</v>
      </c>
      <c r="M56" s="140">
        <f t="shared" si="33"/>
        <v>0.11053577418432639</v>
      </c>
      <c r="N56" s="122">
        <f>IF($D$78&gt;0,(1-N$62)/SUM($D$76:$D$83),0)</f>
        <v>0.13333333333333333</v>
      </c>
      <c r="O56" s="121">
        <f>IF($E$78&gt;0,(1-O$62)/SUM($E$76:$E$83),0)</f>
        <v>0.1</v>
      </c>
      <c r="P56" s="121">
        <f>IF($F$78&gt;0,(1-P$62)/SUM($F$76:$F$83),0)</f>
        <v>0</v>
      </c>
      <c r="Q56" s="140">
        <f t="shared" si="34"/>
        <v>0.11843118662606399</v>
      </c>
      <c r="R56" s="122">
        <f>IF($H$78&gt;0,(1-R$62)/SUM($H$76:$H$83),0)</f>
        <v>0.1142857142857143</v>
      </c>
      <c r="U56" s="120" t="s">
        <v>861</v>
      </c>
      <c r="V56" s="140">
        <f t="shared" si="35"/>
        <v>0.11287042981950432</v>
      </c>
      <c r="W56" s="140">
        <f t="shared" si="35"/>
        <v>0.10534573449820403</v>
      </c>
      <c r="X56" s="122">
        <f>IF($D$78&gt;0,(1-X$62)/SUM($D$76:$D$83),0)</f>
        <v>0.13333333333333333</v>
      </c>
      <c r="Y56" s="121">
        <f>IF($E$78&gt;0,(1-Y$62)/SUM($E$76:$E$83),0)</f>
        <v>0.1</v>
      </c>
      <c r="Z56" s="121">
        <f>IF($F$78&gt;0,(1-Z$62)/SUM($F$76:$F$83),0)</f>
        <v>0</v>
      </c>
      <c r="AA56" s="140">
        <f t="shared" si="36"/>
        <v>0.11287042981950432</v>
      </c>
      <c r="AB56" s="122">
        <f>IF($H$78&gt;0,(1-AB$62)/SUM($H$76:$H$83),0)</f>
        <v>0.1142857142857143</v>
      </c>
      <c r="AD56" s="120" t="s">
        <v>861</v>
      </c>
      <c r="AE56" s="140">
        <f t="shared" si="37"/>
        <v>7.7449392426373581E-2</v>
      </c>
      <c r="AF56" s="140">
        <f t="shared" si="37"/>
        <v>7.2286099597948669E-2</v>
      </c>
      <c r="AG56" s="122">
        <f>IF($D$78&gt;0,(1-AG$62)/SUM($D$76:$D$83),0)</f>
        <v>0.13333333333333333</v>
      </c>
      <c r="AH56" s="121">
        <f>IF($E$78&gt;0,(1-AH$62)/SUM($E$76:$E$83),0)</f>
        <v>0.1</v>
      </c>
      <c r="AI56" s="121">
        <f>IF($F$78&gt;0,(1-AI$62)/SUM($F$76:$F$83),0)</f>
        <v>0</v>
      </c>
      <c r="AJ56" s="140">
        <f t="shared" si="38"/>
        <v>7.7449392426373581E-2</v>
      </c>
      <c r="AK56" s="122">
        <f>IF($H$78&gt;0,(1-AK$62)/SUM($H$76:$H$83),0)</f>
        <v>0.1142857142857143</v>
      </c>
      <c r="AM56" s="120" t="s">
        <v>861</v>
      </c>
      <c r="AN56" s="140">
        <f t="shared" si="39"/>
        <v>7.6446426090946651E-2</v>
      </c>
      <c r="AO56" s="140">
        <f t="shared" si="39"/>
        <v>7.1349997684883537E-2</v>
      </c>
      <c r="AP56" s="122">
        <f>IF($D$78&gt;0,(1-AP$62)/SUM($D$76:$D$83),0)</f>
        <v>0.13333333333333333</v>
      </c>
      <c r="AQ56" s="121">
        <f>IF($E$78&gt;0,(1-AQ$62)/SUM($E$76:$E$83),0)</f>
        <v>0.1</v>
      </c>
      <c r="AR56" s="121">
        <f>IF($F$78&gt;0,(1-AR$62)/SUM($F$76:$F$83),0)</f>
        <v>0</v>
      </c>
      <c r="AS56" s="140">
        <f t="shared" si="40"/>
        <v>7.6446426090946651E-2</v>
      </c>
      <c r="AT56" s="122">
        <f>IF($H$78&gt;0,(1-AT$62)/SUM($H$76:$H$83),0)</f>
        <v>0.1142857142857143</v>
      </c>
    </row>
    <row r="57" spans="1:46" x14ac:dyDescent="0.35">
      <c r="A57" s="120" t="s">
        <v>224</v>
      </c>
      <c r="B57" s="140">
        <f t="shared" si="31"/>
        <v>0.19459441427144347</v>
      </c>
      <c r="C57" s="140">
        <f t="shared" si="31"/>
        <v>0.18162145332001389</v>
      </c>
      <c r="D57" s="122">
        <f>IF($D$79&gt;0,(1-D$62)/SUM($D$76:$D$83),0)</f>
        <v>0.13333333333333333</v>
      </c>
      <c r="E57" s="121">
        <f>IF($E$79&gt;0,(1-E$62)/SUM($E$76:$E$83),0)</f>
        <v>0.1</v>
      </c>
      <c r="F57" s="121">
        <f>IF($F$79&gt;0,(1-F$62)/SUM($F$76:$F$83),0)</f>
        <v>0.4</v>
      </c>
      <c r="G57" s="140">
        <f t="shared" si="32"/>
        <v>0.19459441427144347</v>
      </c>
      <c r="H57" s="122">
        <f>IF($H$79&gt;0,(1-H$62)/SUM($H$76:$H$83),0)</f>
        <v>0.1142857142857143</v>
      </c>
      <c r="K57" s="120" t="s">
        <v>224</v>
      </c>
      <c r="L57" s="140">
        <f t="shared" si="33"/>
        <v>0.14627837105689648</v>
      </c>
      <c r="M57" s="140">
        <f t="shared" si="33"/>
        <v>0.13652647965310336</v>
      </c>
      <c r="N57" s="122">
        <f>IF($D$79&gt;0,(1-N$62)/SUM($D$76:$D$83),0)</f>
        <v>0.13333333333333333</v>
      </c>
      <c r="O57" s="121">
        <f>IF($E$79&gt;0,(1-O$62)/SUM($E$76:$E$83),0)</f>
        <v>0.1</v>
      </c>
      <c r="P57" s="121">
        <f>IF($F$79&gt;0,(1-P$62)/SUM($F$76:$F$83),0)</f>
        <v>0.4</v>
      </c>
      <c r="Q57" s="140">
        <f t="shared" si="34"/>
        <v>0.14627837105689648</v>
      </c>
      <c r="R57" s="122">
        <f>IF($H$79&gt;0,(1-R$62)/SUM($H$76:$H$83),0)</f>
        <v>0.1142857142857143</v>
      </c>
      <c r="U57" s="120" t="s">
        <v>224</v>
      </c>
      <c r="V57" s="140">
        <f t="shared" si="35"/>
        <v>9.0333477393753553E-2</v>
      </c>
      <c r="W57" s="140">
        <f t="shared" si="35"/>
        <v>8.4311245567503301E-2</v>
      </c>
      <c r="X57" s="122">
        <f>IF($D$79&gt;0,(1-X$62)/SUM($D$76:$D$83),0)</f>
        <v>0.13333333333333333</v>
      </c>
      <c r="Y57" s="121">
        <f>IF($E$79&gt;0,(1-Y$62)/SUM($E$76:$E$83),0)</f>
        <v>0.1</v>
      </c>
      <c r="Z57" s="121">
        <f>IF($F$79&gt;0,(1-Z$62)/SUM($F$76:$F$83),0)</f>
        <v>0.4</v>
      </c>
      <c r="AA57" s="140">
        <f t="shared" si="36"/>
        <v>9.0333477393753553E-2</v>
      </c>
      <c r="AB57" s="122">
        <f>IF($H$79&gt;0,(1-AB$62)/SUM($H$76:$H$83),0)</f>
        <v>0.1142857142857143</v>
      </c>
      <c r="AD57" s="120" t="s">
        <v>224</v>
      </c>
      <c r="AE57" s="140">
        <f t="shared" si="37"/>
        <v>0.18809492038337514</v>
      </c>
      <c r="AF57" s="140">
        <f t="shared" si="37"/>
        <v>0.17555525902448343</v>
      </c>
      <c r="AG57" s="122">
        <f>IF($D$79&gt;0,(1-AG$62)/SUM($D$76:$D$83),0)</f>
        <v>0.13333333333333333</v>
      </c>
      <c r="AH57" s="121">
        <f>IF($E$79&gt;0,(1-AH$62)/SUM($E$76:$E$83),0)</f>
        <v>0.1</v>
      </c>
      <c r="AI57" s="121">
        <f>IF($F$79&gt;0,(1-AI$62)/SUM($F$76:$F$83),0)</f>
        <v>0.4</v>
      </c>
      <c r="AJ57" s="140">
        <f t="shared" si="38"/>
        <v>0.18809492038337514</v>
      </c>
      <c r="AK57" s="122">
        <f>IF($H$79&gt;0,(1-AK$62)/SUM($H$76:$H$83),0)</f>
        <v>0.1142857142857143</v>
      </c>
      <c r="AM57" s="120" t="s">
        <v>224</v>
      </c>
      <c r="AN57" s="140">
        <f t="shared" si="39"/>
        <v>0.15312127824377655</v>
      </c>
      <c r="AO57" s="140">
        <f t="shared" si="39"/>
        <v>0.14291319302752475</v>
      </c>
      <c r="AP57" s="122">
        <f>IF($D$79&gt;0,(1-AP$62)/SUM($D$76:$D$83),0)</f>
        <v>0.13333333333333333</v>
      </c>
      <c r="AQ57" s="121">
        <f>IF($E$79&gt;0,(1-AQ$62)/SUM($E$76:$E$83),0)</f>
        <v>0.1</v>
      </c>
      <c r="AR57" s="121">
        <f>IF($F$79&gt;0,(1-AR$62)/SUM($F$76:$F$83),0)</f>
        <v>0.4</v>
      </c>
      <c r="AS57" s="140">
        <f t="shared" si="40"/>
        <v>0.15312127824377655</v>
      </c>
      <c r="AT57" s="122">
        <f>IF($H$79&gt;0,(1-AT$62)/SUM($H$76:$H$83),0)</f>
        <v>0.1142857142857143</v>
      </c>
    </row>
    <row r="58" spans="1:46" x14ac:dyDescent="0.35">
      <c r="A58" s="120" t="s">
        <v>293</v>
      </c>
      <c r="B58" s="140">
        <f t="shared" si="31"/>
        <v>8.0761912526481877E-2</v>
      </c>
      <c r="C58" s="140">
        <f t="shared" si="31"/>
        <v>7.5377785024716412E-2</v>
      </c>
      <c r="D58" s="122">
        <f>IF($D$80&gt;0,(1-D$62)/SUM($D$76:$D$83),0)</f>
        <v>0.13333333333333333</v>
      </c>
      <c r="E58" s="121">
        <f>IF($E$80&gt;0,(1-E$62)/SUM($E$76:$E$83),0)</f>
        <v>0.1</v>
      </c>
      <c r="F58" s="121">
        <f>IF($F$80&gt;0,(1-F$62)/SUM($F$76:$F$83),0)</f>
        <v>0</v>
      </c>
      <c r="G58" s="140">
        <f t="shared" si="32"/>
        <v>8.0761912526481877E-2</v>
      </c>
      <c r="H58" s="122">
        <f>IF($H$80&gt;0,(1-H$62)/SUM($H$76:$H$83),0)</f>
        <v>0</v>
      </c>
      <c r="K58" s="120" t="s">
        <v>293</v>
      </c>
      <c r="L58" s="140">
        <f t="shared" si="33"/>
        <v>9.8293549340606384E-2</v>
      </c>
      <c r="M58" s="140">
        <f t="shared" si="33"/>
        <v>9.1740646051232624E-2</v>
      </c>
      <c r="N58" s="122">
        <f>IF($D$80&gt;0,(1-N$62)/SUM($D$76:$D$83),0)</f>
        <v>0.13333333333333333</v>
      </c>
      <c r="O58" s="121">
        <f>IF($E$80&gt;0,(1-O$62)/SUM($E$76:$E$83),0)</f>
        <v>0.1</v>
      </c>
      <c r="P58" s="121">
        <f>IF($F$80&gt;0,(1-P$62)/SUM($F$76:$F$83),0)</f>
        <v>0</v>
      </c>
      <c r="Q58" s="140">
        <f t="shared" si="34"/>
        <v>9.8293549340606384E-2</v>
      </c>
      <c r="R58" s="122">
        <f>IF($H$80&gt;0,(1-R$62)/SUM($H$76:$H$83),0)</f>
        <v>0</v>
      </c>
      <c r="U58" s="120" t="s">
        <v>293</v>
      </c>
      <c r="V58" s="140">
        <f t="shared" si="35"/>
        <v>0.11553407139611421</v>
      </c>
      <c r="W58" s="140">
        <f t="shared" si="35"/>
        <v>0.1078317999697066</v>
      </c>
      <c r="X58" s="122">
        <f>IF($D$80&gt;0,(1-X$62)/SUM($D$76:$D$83),0)</f>
        <v>0.13333333333333333</v>
      </c>
      <c r="Y58" s="121">
        <f>IF($E$80&gt;0,(1-Y$62)/SUM($E$76:$E$83),0)</f>
        <v>0.1</v>
      </c>
      <c r="Z58" s="121">
        <f>IF($F$80&gt;0,(1-Z$62)/SUM($F$76:$F$83),0)</f>
        <v>0</v>
      </c>
      <c r="AA58" s="140">
        <f t="shared" si="36"/>
        <v>0.11553407139611421</v>
      </c>
      <c r="AB58" s="122">
        <f>IF($H$80&gt;0,(1-AB$62)/SUM($H$76:$H$83),0)</f>
        <v>0</v>
      </c>
      <c r="AD58" s="120" t="s">
        <v>293</v>
      </c>
      <c r="AE58" s="140">
        <f t="shared" si="37"/>
        <v>7.0889680979177194E-2</v>
      </c>
      <c r="AF58" s="140">
        <f t="shared" si="37"/>
        <v>6.6163702247232031E-2</v>
      </c>
      <c r="AG58" s="122">
        <f>IF($D$80&gt;0,(1-AG$62)/SUM($D$76:$D$83),0)</f>
        <v>0.13333333333333333</v>
      </c>
      <c r="AH58" s="121">
        <f>IF($E$80&gt;0,(1-AH$62)/SUM($E$76:$E$83),0)</f>
        <v>0.1</v>
      </c>
      <c r="AI58" s="121">
        <f>IF($F$80&gt;0,(1-AI$62)/SUM($F$76:$F$83),0)</f>
        <v>0</v>
      </c>
      <c r="AJ58" s="140">
        <f t="shared" si="38"/>
        <v>7.0889680979177194E-2</v>
      </c>
      <c r="AK58" s="122">
        <f>IF($H$80&gt;0,(1-AK$62)/SUM($H$76:$H$83),0)</f>
        <v>0</v>
      </c>
      <c r="AM58" s="120" t="s">
        <v>293</v>
      </c>
      <c r="AN58" s="140">
        <f t="shared" si="39"/>
        <v>8.7247856364470189E-2</v>
      </c>
      <c r="AO58" s="140">
        <f t="shared" si="39"/>
        <v>8.1431332606838824E-2</v>
      </c>
      <c r="AP58" s="122">
        <f>IF($D$80&gt;0,(1-AP$62)/SUM($D$76:$D$83),0)</f>
        <v>0.13333333333333333</v>
      </c>
      <c r="AQ58" s="121">
        <f>IF($E$80&gt;0,(1-AQ$62)/SUM($E$76:$E$83),0)</f>
        <v>0.1</v>
      </c>
      <c r="AR58" s="121">
        <f>IF($F$80&gt;0,(1-AR$62)/SUM($F$76:$F$83),0)</f>
        <v>0</v>
      </c>
      <c r="AS58" s="140">
        <f t="shared" si="40"/>
        <v>8.7247856364470189E-2</v>
      </c>
      <c r="AT58" s="122">
        <f>IF($H$80&gt;0,(1-AT$62)/SUM($H$76:$H$83),0)</f>
        <v>0</v>
      </c>
    </row>
    <row r="59" spans="1:46" x14ac:dyDescent="0.35">
      <c r="A59" s="120" t="s">
        <v>924</v>
      </c>
      <c r="B59" s="140">
        <f t="shared" si="31"/>
        <v>1.6177575725207723E-2</v>
      </c>
      <c r="C59" s="140">
        <f t="shared" si="31"/>
        <v>1.5099070676860539E-2</v>
      </c>
      <c r="D59" s="122">
        <f>IF($D$81&gt;0,(1-D$62)/SUM($D$76:$D$83),0)</f>
        <v>0</v>
      </c>
      <c r="E59" s="121">
        <f>IF($E$81&gt;0,(1-E$62)/SUM($E$76:$E$83),0)</f>
        <v>0.1</v>
      </c>
      <c r="F59" s="121">
        <f>IF($F$81&gt;0,(1-F$62)/SUM($F$76:$F$83),0)</f>
        <v>0</v>
      </c>
      <c r="G59" s="140">
        <f t="shared" si="32"/>
        <v>1.6177575725207723E-2</v>
      </c>
      <c r="H59" s="122">
        <f>IF($H$81&gt;0,(1-H$62)/SUM($H$76:$H$83),0)</f>
        <v>0.1142857142857143</v>
      </c>
      <c r="K59" s="120" t="s">
        <v>924</v>
      </c>
      <c r="L59" s="140">
        <f t="shared" si="33"/>
        <v>2.9766181455745437E-2</v>
      </c>
      <c r="M59" s="140">
        <f t="shared" si="33"/>
        <v>2.7781769358695738E-2</v>
      </c>
      <c r="N59" s="122">
        <f>IF($D$81&gt;0,(1-N$62)/SUM($D$76:$D$83),0)</f>
        <v>0</v>
      </c>
      <c r="O59" s="121">
        <f>IF($E$81&gt;0,(1-O$62)/SUM($E$76:$E$83),0)</f>
        <v>0.1</v>
      </c>
      <c r="P59" s="121">
        <f>IF($F$81&gt;0,(1-P$62)/SUM($F$76:$F$83),0)</f>
        <v>0</v>
      </c>
      <c r="Q59" s="140">
        <f t="shared" si="34"/>
        <v>2.9766181455745437E-2</v>
      </c>
      <c r="R59" s="122">
        <f>IF($H$81&gt;0,(1-R$62)/SUM($H$76:$H$83),0)</f>
        <v>0.1142857142857143</v>
      </c>
      <c r="U59" s="120" t="s">
        <v>924</v>
      </c>
      <c r="V59" s="140">
        <f t="shared" si="35"/>
        <v>1.7544583870183639E-2</v>
      </c>
      <c r="W59" s="140">
        <f t="shared" si="35"/>
        <v>1.6374944945504729E-2</v>
      </c>
      <c r="X59" s="122">
        <f>IF($D$81&gt;0,(1-X$62)/SUM($D$76:$D$83),0)</f>
        <v>0</v>
      </c>
      <c r="Y59" s="121">
        <f>IF($E$81&gt;0,(1-Y$62)/SUM($E$76:$E$83),0)</f>
        <v>0.1</v>
      </c>
      <c r="Z59" s="121">
        <f>IF($F$81&gt;0,(1-Z$62)/SUM($F$76:$F$83),0)</f>
        <v>0</v>
      </c>
      <c r="AA59" s="140">
        <f t="shared" si="36"/>
        <v>1.7544583870183639E-2</v>
      </c>
      <c r="AB59" s="122">
        <f>IF($H$81&gt;0,(1-AB$62)/SUM($H$76:$H$83),0)</f>
        <v>0.1142857142857143</v>
      </c>
      <c r="AD59" s="120" t="s">
        <v>924</v>
      </c>
      <c r="AE59" s="140">
        <f t="shared" si="37"/>
        <v>2.2240335624329109E-2</v>
      </c>
      <c r="AF59" s="140">
        <f t="shared" si="37"/>
        <v>2.0757646582707165E-2</v>
      </c>
      <c r="AG59" s="122">
        <f>IF($D$81&gt;0,(1-AG$62)/SUM($D$76:$D$83),0)</f>
        <v>0</v>
      </c>
      <c r="AH59" s="121">
        <f>IF($E$81&gt;0,(1-AH$62)/SUM($E$76:$E$83),0)</f>
        <v>0.1</v>
      </c>
      <c r="AI59" s="121">
        <f>IF($F$81&gt;0,(1-AI$62)/SUM($F$76:$F$83),0)</f>
        <v>0</v>
      </c>
      <c r="AJ59" s="140">
        <f t="shared" si="38"/>
        <v>2.2240335624329109E-2</v>
      </c>
      <c r="AK59" s="122">
        <f>IF($H$81&gt;0,(1-AK$62)/SUM($H$76:$H$83),0)</f>
        <v>0.1142857142857143</v>
      </c>
      <c r="AM59" s="120" t="s">
        <v>924</v>
      </c>
      <c r="AN59" s="140">
        <f t="shared" si="39"/>
        <v>3.0169447448431735E-2</v>
      </c>
      <c r="AO59" s="140">
        <f t="shared" si="39"/>
        <v>2.8158150951869618E-2</v>
      </c>
      <c r="AP59" s="122">
        <f>IF($D$81&gt;0,(1-AP$62)/SUM($D$76:$D$83),0)</f>
        <v>0</v>
      </c>
      <c r="AQ59" s="121">
        <f>IF($E$81&gt;0,(1-AQ$62)/SUM($E$76:$E$83),0)</f>
        <v>0.1</v>
      </c>
      <c r="AR59" s="121">
        <f>IF($F$81&gt;0,(1-AR$62)/SUM($F$76:$F$83),0)</f>
        <v>0</v>
      </c>
      <c r="AS59" s="140">
        <f t="shared" si="40"/>
        <v>3.0169447448431735E-2</v>
      </c>
      <c r="AT59" s="122">
        <f>IF($H$81&gt;0,(1-AT$62)/SUM($H$76:$H$83),0)</f>
        <v>0.1142857142857143</v>
      </c>
    </row>
    <row r="60" spans="1:46" x14ac:dyDescent="0.35">
      <c r="A60" s="120" t="s">
        <v>954</v>
      </c>
      <c r="B60" s="121">
        <f>IF($B$82&gt;0,0.05,0)</f>
        <v>0.05</v>
      </c>
      <c r="C60" s="121">
        <f>IF($C$82&gt;0,0.05,0)</f>
        <v>0.05</v>
      </c>
      <c r="D60" s="122">
        <f>IF($D$82&gt;0,(1-D$62)/SUM($D$76:$D$83),0)</f>
        <v>0.13333333333333333</v>
      </c>
      <c r="E60" s="121">
        <f>IF($E$82&gt;0,(1-E$62)/SUM($E$76:$E$83),0)</f>
        <v>0.1</v>
      </c>
      <c r="F60" s="121">
        <f>IF($F$82&gt;0,(1-F$62)/SUM($F$76:$F$83),0)</f>
        <v>0.4</v>
      </c>
      <c r="G60" s="121">
        <f>IF($G$82&gt;0,0.05,0)</f>
        <v>0.05</v>
      </c>
      <c r="H60" s="122">
        <f>IF($H$82&gt;0,(1-H$62)/SUM($H$76:$H$83),0)</f>
        <v>0.1142857142857143</v>
      </c>
      <c r="K60" s="120" t="s">
        <v>954</v>
      </c>
      <c r="L60" s="121">
        <f>IF($B$82&gt;0,0.05,0)</f>
        <v>0.05</v>
      </c>
      <c r="M60" s="121">
        <f>IF($C$82&gt;0,0.05,0)</f>
        <v>0.05</v>
      </c>
      <c r="N60" s="122">
        <f>IF($D$82&gt;0,(1-N$62)/SUM($D$76:$D$83),0)</f>
        <v>0.13333333333333333</v>
      </c>
      <c r="O60" s="121">
        <f>IF($E$82&gt;0,(1-O$62)/SUM($E$76:$E$83),0)</f>
        <v>0.1</v>
      </c>
      <c r="P60" s="121">
        <f>IF($F$82&gt;0,(1-P$62)/SUM($F$76:$F$83),0)</f>
        <v>0.4</v>
      </c>
      <c r="Q60" s="121">
        <f>IF($G$82&gt;0,0.05,0)</f>
        <v>0.05</v>
      </c>
      <c r="R60" s="122">
        <f>IF($H$82&gt;0,(1-R$62)/SUM($H$76:$H$83),0)</f>
        <v>0.1142857142857143</v>
      </c>
      <c r="U60" s="120" t="s">
        <v>954</v>
      </c>
      <c r="V60" s="121">
        <f>IF($B$82&gt;0,0.05,0)</f>
        <v>0.05</v>
      </c>
      <c r="W60" s="121">
        <f>IF($C$82&gt;0,0.05,0)</f>
        <v>0.05</v>
      </c>
      <c r="X60" s="122">
        <f>IF($D$82&gt;0,(1-X$62)/SUM($D$76:$D$83),0)</f>
        <v>0.13333333333333333</v>
      </c>
      <c r="Y60" s="121">
        <f>IF($E$82&gt;0,(1-Y$62)/SUM($E$76:$E$83),0)</f>
        <v>0.1</v>
      </c>
      <c r="Z60" s="121">
        <f>IF($F$82&gt;0,(1-Z$62)/SUM($F$76:$F$83),0)</f>
        <v>0.4</v>
      </c>
      <c r="AA60" s="121">
        <f>IF($G$82&gt;0,0.05,0)</f>
        <v>0.05</v>
      </c>
      <c r="AB60" s="122">
        <f>IF($H$82&gt;0,(1-AB$62)/SUM($H$76:$H$83),0)</f>
        <v>0.1142857142857143</v>
      </c>
      <c r="AD60" s="120" t="s">
        <v>954</v>
      </c>
      <c r="AE60" s="121">
        <f>IF($B$82&gt;0,0.05,0)</f>
        <v>0.05</v>
      </c>
      <c r="AF60" s="121">
        <f>IF($C$82&gt;0,0.05,0)</f>
        <v>0.05</v>
      </c>
      <c r="AG60" s="122">
        <f>IF($D$82&gt;0,(1-AG$62)/SUM($D$76:$D$83),0)</f>
        <v>0.13333333333333333</v>
      </c>
      <c r="AH60" s="121">
        <f>IF($E$82&gt;0,(1-AH$62)/SUM($E$76:$E$83),0)</f>
        <v>0.1</v>
      </c>
      <c r="AI60" s="121">
        <f>IF($F$82&gt;0,(1-AI$62)/SUM($F$76:$F$83),0)</f>
        <v>0.4</v>
      </c>
      <c r="AJ60" s="121">
        <f>IF($G$82&gt;0,0.05,0)</f>
        <v>0.05</v>
      </c>
      <c r="AK60" s="122">
        <f>IF($H$82&gt;0,(1-AK$62)/SUM($H$76:$H$83),0)</f>
        <v>0.1142857142857143</v>
      </c>
      <c r="AM60" s="120" t="s">
        <v>954</v>
      </c>
      <c r="AN60" s="121">
        <f>IF($B$82&gt;0,0.05,0)</f>
        <v>0.05</v>
      </c>
      <c r="AO60" s="121">
        <f>IF($C$82&gt;0,0.05,0)</f>
        <v>0.05</v>
      </c>
      <c r="AP60" s="122">
        <f>IF($D$82&gt;0,(1-AP$62)/SUM($D$76:$D$83),0)</f>
        <v>0.13333333333333333</v>
      </c>
      <c r="AQ60" s="121">
        <f>IF($E$82&gt;0,(1-AQ$62)/SUM($E$76:$E$83),0)</f>
        <v>0.1</v>
      </c>
      <c r="AR60" s="121">
        <f>IF($F$82&gt;0,(1-AR$62)/SUM($F$76:$F$83),0)</f>
        <v>0.4</v>
      </c>
      <c r="AS60" s="121">
        <f>IF($G$82&gt;0,0.05,0)</f>
        <v>0.05</v>
      </c>
      <c r="AT60" s="122">
        <f>IF($H$82&gt;0,(1-AT$62)/SUM($H$76:$H$83),0)</f>
        <v>0.1142857142857143</v>
      </c>
    </row>
    <row r="61" spans="1:46" x14ac:dyDescent="0.35">
      <c r="A61" s="120" t="s">
        <v>923</v>
      </c>
      <c r="B61" s="121">
        <f>IF($B$83&gt;0,0.05,0)</f>
        <v>0</v>
      </c>
      <c r="C61" s="121">
        <f>IF($C$83&gt;0,0.05,0)</f>
        <v>0.05</v>
      </c>
      <c r="D61" s="121">
        <f>IF($D$83&gt;0,(1-D$62)/SUM(D$76:D$83),0)</f>
        <v>0</v>
      </c>
      <c r="E61" s="121">
        <f>IF($E$83&gt;0,(1-E$62)/SUM($E$76:$E$83),0)</f>
        <v>0.1</v>
      </c>
      <c r="F61" s="121">
        <f>IF($F$83&gt;0,(1-F$41)/SUM($F$76:$F$83),0)</f>
        <v>0</v>
      </c>
      <c r="G61" s="121">
        <f>IF($G$83&gt;0,0.05,0)</f>
        <v>0</v>
      </c>
      <c r="H61" s="122">
        <f>IF($H$83&gt;0,(1-H$62)/SUM($H$76:$H$83),0)</f>
        <v>0.1142857142857143</v>
      </c>
      <c r="K61" s="120" t="s">
        <v>923</v>
      </c>
      <c r="L61" s="121">
        <f>IF($B$83&gt;0,0.05,0)</f>
        <v>0</v>
      </c>
      <c r="M61" s="121">
        <f>IF($C$83&gt;0,0.05,0)</f>
        <v>0.05</v>
      </c>
      <c r="N61" s="121">
        <f>IF($D$83&gt;0,(1-N$62)/SUM(N$76:N$83),0)</f>
        <v>0</v>
      </c>
      <c r="O61" s="121">
        <f>IF($E$83&gt;0,(1-O$62)/SUM($E$76:$E$83),0)</f>
        <v>0.1</v>
      </c>
      <c r="P61" s="121">
        <f>IF($F$83&gt;0,(1-P$41)/SUM($F$76:$F$83),0)</f>
        <v>0</v>
      </c>
      <c r="Q61" s="121">
        <f>IF($G$83&gt;0,0.05,0)</f>
        <v>0</v>
      </c>
      <c r="R61" s="122">
        <f>IF($H$83&gt;0,(1-R$62)/SUM($H$76:$H$83),0)</f>
        <v>0.1142857142857143</v>
      </c>
      <c r="U61" s="120" t="s">
        <v>923</v>
      </c>
      <c r="V61" s="121">
        <f>IF($B$83&gt;0,0.05,0)</f>
        <v>0</v>
      </c>
      <c r="W61" s="121">
        <f>IF($C$83&gt;0,0.05,0)</f>
        <v>0.05</v>
      </c>
      <c r="X61" s="121">
        <f>IF($D$83&gt;0,(1-X$62)/SUM(X$76:X$83),0)</f>
        <v>0</v>
      </c>
      <c r="Y61" s="121">
        <f>IF($E$83&gt;0,(1-Y$62)/SUM($E$76:$E$83),0)</f>
        <v>0.1</v>
      </c>
      <c r="Z61" s="121">
        <f>IF($F$83&gt;0,(1-Z$41)/SUM($F$76:$F$83),0)</f>
        <v>0</v>
      </c>
      <c r="AA61" s="121">
        <f>IF($G$83&gt;0,0.05,0)</f>
        <v>0</v>
      </c>
      <c r="AB61" s="122">
        <f>IF($H$83&gt;0,(1-AB$62)/SUM($H$76:$H$83),0)</f>
        <v>0.1142857142857143</v>
      </c>
      <c r="AD61" s="120" t="s">
        <v>923</v>
      </c>
      <c r="AE61" s="121">
        <f>IF($B$83&gt;0,0.05,0)</f>
        <v>0</v>
      </c>
      <c r="AF61" s="121">
        <f>IF($C$83&gt;0,0.05,0)</f>
        <v>0.05</v>
      </c>
      <c r="AG61" s="121">
        <f>IF($D$83&gt;0,(1-AG$62)/SUM(AG$76:AG$83),0)</f>
        <v>0</v>
      </c>
      <c r="AH61" s="121">
        <f>IF($E$83&gt;0,(1-AH$62)/SUM($E$76:$E$83),0)</f>
        <v>0.1</v>
      </c>
      <c r="AI61" s="121">
        <f>IF($F$83&gt;0,(1-AI$41)/SUM($F$76:$F$83),0)</f>
        <v>0</v>
      </c>
      <c r="AJ61" s="121">
        <f>IF($G$83&gt;0,0.05,0)</f>
        <v>0</v>
      </c>
      <c r="AK61" s="122">
        <f>IF($H$83&gt;0,(1-AK$62)/SUM($H$76:$H$83),0)</f>
        <v>0.1142857142857143</v>
      </c>
      <c r="AM61" s="120" t="s">
        <v>923</v>
      </c>
      <c r="AN61" s="121">
        <f>IF($B$83&gt;0,0.05,0)</f>
        <v>0</v>
      </c>
      <c r="AO61" s="121">
        <f>IF($C$83&gt;0,0.05,0)</f>
        <v>0.05</v>
      </c>
      <c r="AP61" s="121">
        <f>IF($D$83&gt;0,(1-AP$62)/SUM(AP$76:AP$83),0)</f>
        <v>0</v>
      </c>
      <c r="AQ61" s="121">
        <f>IF($E$83&gt;0,(1-AQ$62)/SUM($E$76:$E$83),0)</f>
        <v>0.1</v>
      </c>
      <c r="AR61" s="121">
        <f>IF($F$83&gt;0,(1-AR$41)/SUM($F$76:$F$83),0)</f>
        <v>0</v>
      </c>
      <c r="AS61" s="121">
        <f>IF($G$83&gt;0,0.05,0)</f>
        <v>0</v>
      </c>
      <c r="AT61" s="122">
        <f>IF($H$83&gt;0,(1-AT$62)/SUM($H$76:$H$83),0)</f>
        <v>0.1142857142857143</v>
      </c>
    </row>
    <row r="62" spans="1:46" x14ac:dyDescent="0.35">
      <c r="A62" s="120" t="s">
        <v>953</v>
      </c>
      <c r="B62" s="121">
        <f>IF($B$84&gt;0,0.2,0)</f>
        <v>0.2</v>
      </c>
      <c r="C62" s="121">
        <f>IF($C$84&gt;0,0.2,0)</f>
        <v>0.2</v>
      </c>
      <c r="D62" s="121">
        <v>0.2</v>
      </c>
      <c r="E62" s="121">
        <v>0.2</v>
      </c>
      <c r="F62" s="121">
        <v>0.2</v>
      </c>
      <c r="G62" s="121">
        <f>IF($G$84&gt;0,0.2,0)</f>
        <v>0.2</v>
      </c>
      <c r="H62" s="121">
        <v>0.2</v>
      </c>
      <c r="K62" s="120" t="s">
        <v>953</v>
      </c>
      <c r="L62" s="121">
        <f>IF($B$84&gt;0,0.2,0)</f>
        <v>0.2</v>
      </c>
      <c r="M62" s="121">
        <f>IF($C$84&gt;0,0.2,0)</f>
        <v>0.2</v>
      </c>
      <c r="N62" s="121">
        <v>0.2</v>
      </c>
      <c r="O62" s="121">
        <v>0.2</v>
      </c>
      <c r="P62" s="121">
        <v>0.2</v>
      </c>
      <c r="Q62" s="121">
        <f>IF($G$84&gt;0,0.2,0)</f>
        <v>0.2</v>
      </c>
      <c r="R62" s="121">
        <v>0.2</v>
      </c>
      <c r="U62" s="120" t="s">
        <v>953</v>
      </c>
      <c r="V62" s="121">
        <f>IF($B$84&gt;0,0.2,0)</f>
        <v>0.2</v>
      </c>
      <c r="W62" s="121">
        <f>IF($C$84&gt;0,0.2,0)</f>
        <v>0.2</v>
      </c>
      <c r="X62" s="121">
        <v>0.2</v>
      </c>
      <c r="Y62" s="121">
        <v>0.2</v>
      </c>
      <c r="Z62" s="121">
        <v>0.2</v>
      </c>
      <c r="AA62" s="121">
        <f>IF($G$84&gt;0,0.2,0)</f>
        <v>0.2</v>
      </c>
      <c r="AB62" s="121">
        <v>0.2</v>
      </c>
      <c r="AD62" s="120" t="s">
        <v>953</v>
      </c>
      <c r="AE62" s="121">
        <f>IF($B$84&gt;0,0.2,0)</f>
        <v>0.2</v>
      </c>
      <c r="AF62" s="121">
        <f>IF($C$84&gt;0,0.2,0)</f>
        <v>0.2</v>
      </c>
      <c r="AG62" s="121">
        <v>0.2</v>
      </c>
      <c r="AH62" s="121">
        <v>0.2</v>
      </c>
      <c r="AI62" s="121">
        <v>0.2</v>
      </c>
      <c r="AJ62" s="121">
        <f>IF($G$84&gt;0,0.2,0)</f>
        <v>0.2</v>
      </c>
      <c r="AK62" s="121">
        <v>0.2</v>
      </c>
      <c r="AM62" s="120" t="s">
        <v>953</v>
      </c>
      <c r="AN62" s="121">
        <f>IF($B$84&gt;0,0.2,0)</f>
        <v>0.2</v>
      </c>
      <c r="AO62" s="121">
        <f>IF($C$84&gt;0,0.2,0)</f>
        <v>0.2</v>
      </c>
      <c r="AP62" s="121">
        <v>0.2</v>
      </c>
      <c r="AQ62" s="121">
        <v>0.2</v>
      </c>
      <c r="AR62" s="121">
        <v>0.2</v>
      </c>
      <c r="AS62" s="121">
        <f>IF($G$84&gt;0,0.2,0)</f>
        <v>0.2</v>
      </c>
      <c r="AT62" s="121">
        <v>0.2</v>
      </c>
    </row>
    <row r="63" spans="1:46" s="117" customFormat="1" x14ac:dyDescent="0.35">
      <c r="A63" s="115"/>
      <c r="B63" s="139">
        <f t="shared" ref="B63:H63" si="41">SUM(B54:B62)</f>
        <v>1</v>
      </c>
      <c r="C63" s="139">
        <f t="shared" si="41"/>
        <v>1</v>
      </c>
      <c r="D63" s="139">
        <f t="shared" si="41"/>
        <v>1</v>
      </c>
      <c r="E63" s="139">
        <f t="shared" si="41"/>
        <v>1</v>
      </c>
      <c r="F63" s="139">
        <f t="shared" si="41"/>
        <v>1</v>
      </c>
      <c r="G63" s="139">
        <f t="shared" si="41"/>
        <v>1</v>
      </c>
      <c r="H63" s="139">
        <f t="shared" si="41"/>
        <v>1.0000000000000002</v>
      </c>
      <c r="K63" s="115"/>
      <c r="L63" s="139">
        <f>SUM(L54:L62)</f>
        <v>1</v>
      </c>
      <c r="M63" s="139">
        <f t="shared" ref="M63:R63" si="42">SUM(M54:M62)</f>
        <v>1</v>
      </c>
      <c r="N63" s="139">
        <f t="shared" si="42"/>
        <v>1</v>
      </c>
      <c r="O63" s="139">
        <f t="shared" si="42"/>
        <v>1</v>
      </c>
      <c r="P63" s="139">
        <f t="shared" si="42"/>
        <v>1</v>
      </c>
      <c r="Q63" s="139">
        <f t="shared" si="42"/>
        <v>1</v>
      </c>
      <c r="R63" s="139">
        <f t="shared" si="42"/>
        <v>1.0000000000000002</v>
      </c>
      <c r="S63" s="141"/>
      <c r="U63" s="115"/>
      <c r="V63" s="139">
        <f>SUM(V54:V62)</f>
        <v>1.0000000000000002</v>
      </c>
      <c r="W63" s="139">
        <f t="shared" ref="W63:AB63" si="43">SUM(W54:W62)</f>
        <v>1</v>
      </c>
      <c r="X63" s="139">
        <f t="shared" si="43"/>
        <v>1</v>
      </c>
      <c r="Y63" s="139">
        <f t="shared" si="43"/>
        <v>1</v>
      </c>
      <c r="Z63" s="139">
        <f t="shared" si="43"/>
        <v>1</v>
      </c>
      <c r="AA63" s="139">
        <f t="shared" si="43"/>
        <v>1.0000000000000002</v>
      </c>
      <c r="AB63" s="139">
        <f t="shared" si="43"/>
        <v>1.0000000000000002</v>
      </c>
      <c r="AD63" s="115"/>
      <c r="AE63" s="139">
        <f>SUM(AE54:AE62)</f>
        <v>1</v>
      </c>
      <c r="AF63" s="139">
        <f t="shared" ref="AF63:AK63" si="44">SUM(AF54:AF62)</f>
        <v>1</v>
      </c>
      <c r="AG63" s="139">
        <f t="shared" si="44"/>
        <v>1</v>
      </c>
      <c r="AH63" s="139">
        <f t="shared" si="44"/>
        <v>1</v>
      </c>
      <c r="AI63" s="139">
        <f t="shared" si="44"/>
        <v>1</v>
      </c>
      <c r="AJ63" s="139">
        <f t="shared" si="44"/>
        <v>1</v>
      </c>
      <c r="AK63" s="139">
        <f t="shared" si="44"/>
        <v>1.0000000000000002</v>
      </c>
      <c r="AM63" s="115"/>
      <c r="AN63" s="139">
        <f>SUM(AN54:AN62)</f>
        <v>1</v>
      </c>
      <c r="AO63" s="139">
        <f t="shared" ref="AO63:AT63" si="45">SUM(AO54:AO62)</f>
        <v>0.99999999999999978</v>
      </c>
      <c r="AP63" s="139">
        <f t="shared" si="45"/>
        <v>1</v>
      </c>
      <c r="AQ63" s="139">
        <f t="shared" si="45"/>
        <v>1</v>
      </c>
      <c r="AR63" s="139">
        <f t="shared" si="45"/>
        <v>1</v>
      </c>
      <c r="AS63" s="139">
        <f t="shared" si="45"/>
        <v>1</v>
      </c>
      <c r="AT63" s="139">
        <f t="shared" si="45"/>
        <v>1.0000000000000002</v>
      </c>
    </row>
    <row r="65" spans="1:47" x14ac:dyDescent="0.35">
      <c r="A65" s="3" t="s">
        <v>956</v>
      </c>
      <c r="K65" s="3" t="s">
        <v>956</v>
      </c>
      <c r="U65" s="3" t="s">
        <v>956</v>
      </c>
      <c r="AD65" s="3" t="s">
        <v>956</v>
      </c>
      <c r="AM65" s="3" t="s">
        <v>956</v>
      </c>
    </row>
    <row r="66" spans="1:47" ht="43.5" x14ac:dyDescent="0.35">
      <c r="B66" s="119" t="s">
        <v>687</v>
      </c>
      <c r="C66" s="119" t="s">
        <v>688</v>
      </c>
      <c r="D66" s="119" t="s">
        <v>689</v>
      </c>
      <c r="E66" s="119" t="s">
        <v>690</v>
      </c>
      <c r="F66" s="119" t="s">
        <v>616</v>
      </c>
      <c r="G66" s="119" t="s">
        <v>691</v>
      </c>
      <c r="H66" s="119" t="s">
        <v>692</v>
      </c>
      <c r="L66" s="119" t="s">
        <v>687</v>
      </c>
      <c r="M66" s="119" t="s">
        <v>688</v>
      </c>
      <c r="N66" s="119" t="s">
        <v>689</v>
      </c>
      <c r="O66" s="119" t="s">
        <v>690</v>
      </c>
      <c r="P66" s="119" t="s">
        <v>616</v>
      </c>
      <c r="Q66" s="119" t="s">
        <v>691</v>
      </c>
      <c r="R66" s="119" t="s">
        <v>692</v>
      </c>
      <c r="V66" s="119" t="s">
        <v>687</v>
      </c>
      <c r="W66" s="119" t="s">
        <v>688</v>
      </c>
      <c r="X66" s="119" t="s">
        <v>689</v>
      </c>
      <c r="Y66" s="119" t="s">
        <v>690</v>
      </c>
      <c r="Z66" s="119" t="s">
        <v>616</v>
      </c>
      <c r="AA66" s="119" t="s">
        <v>691</v>
      </c>
      <c r="AB66" s="119" t="s">
        <v>692</v>
      </c>
      <c r="AE66" s="119" t="s">
        <v>687</v>
      </c>
      <c r="AF66" s="119" t="s">
        <v>688</v>
      </c>
      <c r="AG66" s="119" t="s">
        <v>689</v>
      </c>
      <c r="AH66" s="119" t="s">
        <v>690</v>
      </c>
      <c r="AI66" s="119" t="s">
        <v>616</v>
      </c>
      <c r="AJ66" s="119" t="s">
        <v>691</v>
      </c>
      <c r="AK66" s="119" t="s">
        <v>692</v>
      </c>
      <c r="AN66" s="119" t="s">
        <v>687</v>
      </c>
      <c r="AO66" s="119" t="s">
        <v>688</v>
      </c>
      <c r="AP66" s="119" t="s">
        <v>689</v>
      </c>
      <c r="AQ66" s="119" t="s">
        <v>690</v>
      </c>
      <c r="AR66" s="119" t="s">
        <v>616</v>
      </c>
      <c r="AS66" s="119" t="s">
        <v>691</v>
      </c>
      <c r="AT66" s="119" t="s">
        <v>692</v>
      </c>
    </row>
    <row r="67" spans="1:47" x14ac:dyDescent="0.35">
      <c r="B67" s="122">
        <f>0.5*(1/3)</f>
        <v>0.16666666666666666</v>
      </c>
      <c r="C67" s="122">
        <f>1/3</f>
        <v>0.33333333333333331</v>
      </c>
      <c r="D67" s="122">
        <f>(1/3)*(1/4)</f>
        <v>8.3333333333333329E-2</v>
      </c>
      <c r="E67" s="122">
        <f>(1/3)*(1/4)</f>
        <v>8.3333333333333329E-2</v>
      </c>
      <c r="F67" s="122">
        <f>(1/3)*(1/4)</f>
        <v>8.3333333333333329E-2</v>
      </c>
      <c r="G67" s="122">
        <f>0.5*(1/3)</f>
        <v>0.16666666666666666</v>
      </c>
      <c r="H67" s="122">
        <f>(1/3)*(1/4)</f>
        <v>8.3333333333333329E-2</v>
      </c>
      <c r="I67" s="123">
        <f>SUM(B67:H67)</f>
        <v>1</v>
      </c>
      <c r="L67" s="122">
        <f>0.5*(1/3)</f>
        <v>0.16666666666666666</v>
      </c>
      <c r="M67" s="122">
        <f>1/3</f>
        <v>0.33333333333333331</v>
      </c>
      <c r="N67" s="122">
        <f>(1/3)*(1/4)</f>
        <v>8.3333333333333329E-2</v>
      </c>
      <c r="O67" s="122">
        <f>(1/3)*(1/4)</f>
        <v>8.3333333333333329E-2</v>
      </c>
      <c r="P67" s="122">
        <f>(1/3)*(1/4)</f>
        <v>8.3333333333333329E-2</v>
      </c>
      <c r="Q67" s="122">
        <f>0.5*(1/3)</f>
        <v>0.16666666666666666</v>
      </c>
      <c r="R67" s="122">
        <f>(1/3)*(1/4)</f>
        <v>8.3333333333333329E-2</v>
      </c>
      <c r="S67" s="123">
        <f>SUM(L67:R67)</f>
        <v>1</v>
      </c>
      <c r="V67" s="122">
        <f>0.5*(1/3)</f>
        <v>0.16666666666666666</v>
      </c>
      <c r="W67" s="122">
        <f>1/3</f>
        <v>0.33333333333333331</v>
      </c>
      <c r="X67" s="122">
        <f>(1/3)*(1/4)</f>
        <v>8.3333333333333329E-2</v>
      </c>
      <c r="Y67" s="122">
        <f>(1/3)*(1/4)</f>
        <v>8.3333333333333329E-2</v>
      </c>
      <c r="Z67" s="122">
        <f>(1/3)*(1/4)</f>
        <v>8.3333333333333329E-2</v>
      </c>
      <c r="AA67" s="122">
        <f>0.5*(1/3)</f>
        <v>0.16666666666666666</v>
      </c>
      <c r="AB67" s="122">
        <f>(1/3)*(1/4)</f>
        <v>8.3333333333333329E-2</v>
      </c>
      <c r="AC67" s="123">
        <f>SUM(V67:AB67)</f>
        <v>1</v>
      </c>
      <c r="AE67" s="122">
        <f>0.5*(1/3)</f>
        <v>0.16666666666666666</v>
      </c>
      <c r="AF67" s="122">
        <f>1/3</f>
        <v>0.33333333333333331</v>
      </c>
      <c r="AG67" s="122">
        <f>(1/3)*(1/4)</f>
        <v>8.3333333333333329E-2</v>
      </c>
      <c r="AH67" s="122">
        <f>(1/3)*(1/4)</f>
        <v>8.3333333333333329E-2</v>
      </c>
      <c r="AI67" s="122">
        <f>(1/3)*(1/4)</f>
        <v>8.3333333333333329E-2</v>
      </c>
      <c r="AJ67" s="122">
        <f>0.5*(1/3)</f>
        <v>0.16666666666666666</v>
      </c>
      <c r="AK67" s="122">
        <f>(1/3)*(1/4)</f>
        <v>8.3333333333333329E-2</v>
      </c>
      <c r="AL67" s="123">
        <f>SUM(AE67:AK67)</f>
        <v>1</v>
      </c>
      <c r="AN67" s="122">
        <f>0.5*(1/3)</f>
        <v>0.16666666666666666</v>
      </c>
      <c r="AO67" s="122">
        <f>1/3</f>
        <v>0.33333333333333331</v>
      </c>
      <c r="AP67" s="122">
        <f>(1/3)*(1/4)</f>
        <v>8.3333333333333329E-2</v>
      </c>
      <c r="AQ67" s="122">
        <f>(1/3)*(1/4)</f>
        <v>8.3333333333333329E-2</v>
      </c>
      <c r="AR67" s="122">
        <f>(1/3)*(1/4)</f>
        <v>8.3333333333333329E-2</v>
      </c>
      <c r="AS67" s="122">
        <f>0.5*(1/3)</f>
        <v>0.16666666666666666</v>
      </c>
      <c r="AT67" s="122">
        <f>(1/3)*(1/4)</f>
        <v>8.3333333333333329E-2</v>
      </c>
      <c r="AU67" s="123">
        <f>SUM(AN67:AT67)</f>
        <v>1</v>
      </c>
    </row>
    <row r="70" spans="1:47" s="440" customFormat="1" x14ac:dyDescent="0.35">
      <c r="A70" s="440" t="s">
        <v>1140</v>
      </c>
    </row>
    <row r="71" spans="1:47" x14ac:dyDescent="0.35">
      <c r="A71" s="3" t="s">
        <v>1141</v>
      </c>
    </row>
    <row r="72" spans="1:47" x14ac:dyDescent="0.35">
      <c r="A72" s="3">
        <v>0</v>
      </c>
      <c r="B72" s="3" t="s">
        <v>1142</v>
      </c>
    </row>
    <row r="73" spans="1:47" x14ac:dyDescent="0.35">
      <c r="A73" s="3">
        <v>1</v>
      </c>
      <c r="B73" s="3" t="s">
        <v>1143</v>
      </c>
    </row>
    <row r="75" spans="1:47" ht="29" x14ac:dyDescent="0.35">
      <c r="B75" s="119" t="s">
        <v>687</v>
      </c>
      <c r="C75" s="119" t="s">
        <v>688</v>
      </c>
      <c r="D75" s="119" t="s">
        <v>689</v>
      </c>
      <c r="E75" s="119" t="s">
        <v>690</v>
      </c>
      <c r="F75" s="119" t="s">
        <v>616</v>
      </c>
      <c r="G75" s="119" t="s">
        <v>691</v>
      </c>
      <c r="H75" s="119" t="s">
        <v>692</v>
      </c>
    </row>
    <row r="76" spans="1:47" x14ac:dyDescent="0.35">
      <c r="A76" s="120" t="s">
        <v>860</v>
      </c>
      <c r="B76" s="441">
        <f>[1]heating!R1</f>
        <v>1</v>
      </c>
      <c r="C76" s="441">
        <f>[1]heating!S1</f>
        <v>1</v>
      </c>
      <c r="D76" s="441">
        <f>[1]heating!T1</f>
        <v>1</v>
      </c>
      <c r="E76" s="441">
        <f>[1]heating!U1</f>
        <v>1</v>
      </c>
      <c r="F76" s="441">
        <f>[1]heating!V1</f>
        <v>0</v>
      </c>
      <c r="G76" s="441">
        <f>[1]heating!W1</f>
        <v>1</v>
      </c>
      <c r="H76" s="441">
        <f>[1]heating!X1</f>
        <v>1</v>
      </c>
    </row>
    <row r="77" spans="1:47" x14ac:dyDescent="0.35">
      <c r="A77" s="120" t="s">
        <v>862</v>
      </c>
      <c r="B77" s="441">
        <f>[1]dhw!R1</f>
        <v>1</v>
      </c>
      <c r="C77" s="441">
        <f>[1]dhw!S1</f>
        <v>1</v>
      </c>
      <c r="D77" s="441">
        <f>[1]dhw!T1</f>
        <v>1</v>
      </c>
      <c r="E77" s="441">
        <f>[1]dhw!U1</f>
        <v>1</v>
      </c>
      <c r="F77" s="441">
        <f>[1]dhw!V1</f>
        <v>0</v>
      </c>
      <c r="G77" s="441">
        <f>[1]dhw!W1</f>
        <v>1</v>
      </c>
      <c r="H77" s="441">
        <f>[1]dhw!X1</f>
        <v>1</v>
      </c>
    </row>
    <row r="78" spans="1:47" x14ac:dyDescent="0.35">
      <c r="A78" s="120" t="s">
        <v>861</v>
      </c>
      <c r="B78" s="441">
        <f>[1]cooling!R1</f>
        <v>1</v>
      </c>
      <c r="C78" s="441">
        <f>[1]cooling!S1</f>
        <v>1</v>
      </c>
      <c r="D78" s="441">
        <f>[1]cooling!T1</f>
        <v>1</v>
      </c>
      <c r="E78" s="441">
        <f>[1]cooling!U1</f>
        <v>1</v>
      </c>
      <c r="F78" s="441">
        <f>[1]cooling!V1</f>
        <v>0</v>
      </c>
      <c r="G78" s="441">
        <f>[1]cooling!W1</f>
        <v>1</v>
      </c>
      <c r="H78" s="441">
        <f>[1]cooling!X1</f>
        <v>1</v>
      </c>
    </row>
    <row r="79" spans="1:47" x14ac:dyDescent="0.35">
      <c r="A79" s="120" t="s">
        <v>224</v>
      </c>
      <c r="B79" s="441">
        <f>[1]ventilation!R1</f>
        <v>1</v>
      </c>
      <c r="C79" s="441">
        <f>[1]ventilation!S1</f>
        <v>1</v>
      </c>
      <c r="D79" s="441">
        <f>[1]ventilation!T1</f>
        <v>1</v>
      </c>
      <c r="E79" s="441">
        <f>[1]ventilation!U1</f>
        <v>1</v>
      </c>
      <c r="F79" s="441">
        <f>[1]ventilation!V1</f>
        <v>1</v>
      </c>
      <c r="G79" s="441">
        <f>[1]ventilation!W1</f>
        <v>1</v>
      </c>
      <c r="H79" s="441">
        <f>[1]ventilation!X1</f>
        <v>1</v>
      </c>
    </row>
    <row r="80" spans="1:47" x14ac:dyDescent="0.35">
      <c r="A80" s="120" t="s">
        <v>293</v>
      </c>
      <c r="B80" s="441">
        <f>[1]lighting!R1</f>
        <v>1</v>
      </c>
      <c r="C80" s="441">
        <f>[1]lighting!S1</f>
        <v>0</v>
      </c>
      <c r="D80" s="441">
        <f>[1]lighting!T1</f>
        <v>1</v>
      </c>
      <c r="E80" s="441">
        <f>[1]lighting!U1</f>
        <v>1</v>
      </c>
      <c r="F80" s="441">
        <f>[1]lighting!V1</f>
        <v>0</v>
      </c>
      <c r="G80" s="441">
        <f>[1]lighting!W1</f>
        <v>0</v>
      </c>
      <c r="H80" s="441">
        <f>[1]lighting!X1</f>
        <v>0</v>
      </c>
    </row>
    <row r="81" spans="1:14" x14ac:dyDescent="0.35">
      <c r="A81" s="120" t="s">
        <v>924</v>
      </c>
      <c r="B81" s="441">
        <f>[1]electricity!R1</f>
        <v>1</v>
      </c>
      <c r="C81" s="441">
        <f>[1]electricity!S1</f>
        <v>1</v>
      </c>
      <c r="D81" s="441">
        <f>[1]electricity!T1</f>
        <v>0</v>
      </c>
      <c r="E81" s="441">
        <f>[1]electricity!U1</f>
        <v>1</v>
      </c>
      <c r="F81" s="441">
        <f>[1]electricity!V1</f>
        <v>0</v>
      </c>
      <c r="G81" s="441">
        <f>[1]electricity!W1</f>
        <v>1</v>
      </c>
      <c r="H81" s="441">
        <f>[1]electricity!X1</f>
        <v>1</v>
      </c>
    </row>
    <row r="82" spans="1:14" x14ac:dyDescent="0.35">
      <c r="A82" s="120" t="s">
        <v>954</v>
      </c>
      <c r="B82" s="441">
        <f>[1]DE!R1</f>
        <v>1</v>
      </c>
      <c r="C82" s="441">
        <f>[1]DE!S1</f>
        <v>1</v>
      </c>
      <c r="D82" s="441">
        <f>[1]DE!T1</f>
        <v>1</v>
      </c>
      <c r="E82" s="441">
        <f>[1]DE!U1</f>
        <v>1</v>
      </c>
      <c r="F82" s="441">
        <f>[1]DE!V1</f>
        <v>1</v>
      </c>
      <c r="G82" s="441">
        <f>[1]DE!W1</f>
        <v>1</v>
      </c>
      <c r="H82" s="441">
        <f>[1]DE!X1</f>
        <v>1</v>
      </c>
    </row>
    <row r="83" spans="1:14" x14ac:dyDescent="0.35">
      <c r="A83" s="120" t="s">
        <v>923</v>
      </c>
      <c r="B83" s="441">
        <f>[1]EV!R1</f>
        <v>0</v>
      </c>
      <c r="C83" s="441">
        <f>[1]EV!S1</f>
        <v>1</v>
      </c>
      <c r="D83" s="441">
        <f>[1]EV!T1</f>
        <v>0</v>
      </c>
      <c r="E83" s="441">
        <f>[1]EV!U1</f>
        <v>1</v>
      </c>
      <c r="F83" s="441">
        <f>[1]EV!V1</f>
        <v>0</v>
      </c>
      <c r="G83" s="441">
        <f>[1]EV!W1</f>
        <v>0</v>
      </c>
      <c r="H83" s="441">
        <f>[1]EV!X1</f>
        <v>1</v>
      </c>
    </row>
    <row r="84" spans="1:14" x14ac:dyDescent="0.35">
      <c r="A84" s="120" t="s">
        <v>953</v>
      </c>
      <c r="B84" s="441">
        <f>[1]MC!R1</f>
        <v>1</v>
      </c>
      <c r="C84" s="441">
        <f>[1]MC!S1</f>
        <v>1</v>
      </c>
      <c r="D84" s="441">
        <f>[1]MC!T1</f>
        <v>0</v>
      </c>
      <c r="E84" s="441">
        <f>[1]MC!U1</f>
        <v>1</v>
      </c>
      <c r="F84" s="441">
        <f>[1]MC!V1</f>
        <v>0</v>
      </c>
      <c r="G84" s="441">
        <f>[1]MC!W1</f>
        <v>1</v>
      </c>
      <c r="H84" s="441">
        <f>[1]MC!X1</f>
        <v>1</v>
      </c>
    </row>
    <row r="87" spans="1:14" x14ac:dyDescent="0.35">
      <c r="A87" s="3" t="s">
        <v>972</v>
      </c>
    </row>
    <row r="89" spans="1:14" x14ac:dyDescent="0.35">
      <c r="A89" s="3" t="s">
        <v>970</v>
      </c>
      <c r="C89" s="133" t="s">
        <v>965</v>
      </c>
      <c r="D89" s="134" t="s">
        <v>966</v>
      </c>
      <c r="E89" s="135" t="s">
        <v>967</v>
      </c>
      <c r="F89" s="136" t="s">
        <v>968</v>
      </c>
      <c r="G89" s="137" t="s">
        <v>969</v>
      </c>
    </row>
    <row r="90" spans="1:14" x14ac:dyDescent="0.35">
      <c r="B90" s="79" t="s">
        <v>21</v>
      </c>
      <c r="C90" s="138">
        <v>40.138055575347472</v>
      </c>
      <c r="D90" s="138">
        <v>47.069543643719037</v>
      </c>
      <c r="E90" s="138">
        <v>42.786702791838692</v>
      </c>
      <c r="F90" s="138">
        <v>40.787310519836716</v>
      </c>
      <c r="G90" s="138">
        <v>28.635827168842166</v>
      </c>
    </row>
    <row r="91" spans="1:14" x14ac:dyDescent="0.35">
      <c r="B91" s="79" t="s">
        <v>927</v>
      </c>
      <c r="C91" s="138">
        <v>12.448245005669243</v>
      </c>
      <c r="D91" s="138">
        <v>9.4395376552985155</v>
      </c>
      <c r="E91" s="138">
        <v>13.386265407425773</v>
      </c>
      <c r="F91" s="138">
        <v>18.81183835142269</v>
      </c>
      <c r="G91" s="138">
        <v>8.0899705791755547</v>
      </c>
      <c r="J91" s="138"/>
      <c r="K91" s="138"/>
      <c r="L91" s="138"/>
      <c r="M91" s="138"/>
      <c r="N91" s="138"/>
    </row>
    <row r="92" spans="1:14" x14ac:dyDescent="0.35">
      <c r="B92" s="79" t="s">
        <v>182</v>
      </c>
      <c r="C92" s="138">
        <v>0</v>
      </c>
      <c r="D92" s="138">
        <v>2.0407163730756044</v>
      </c>
      <c r="E92" s="138">
        <v>9.2859634146042236</v>
      </c>
      <c r="F92" s="138">
        <v>0</v>
      </c>
      <c r="G92" s="138">
        <v>20.319928627568142</v>
      </c>
      <c r="J92" s="138"/>
      <c r="K92" s="138"/>
      <c r="L92" s="138"/>
      <c r="M92" s="138"/>
      <c r="N92" s="138"/>
    </row>
    <row r="93" spans="1:14" x14ac:dyDescent="0.35">
      <c r="B93" s="79" t="s">
        <v>964</v>
      </c>
      <c r="C93" s="138">
        <v>25.144310044098834</v>
      </c>
      <c r="D93" s="138">
        <v>24.690206899111516</v>
      </c>
      <c r="E93" s="138">
        <v>12.424260744283096</v>
      </c>
      <c r="F93" s="138">
        <v>25.551032975439039</v>
      </c>
      <c r="G93" s="138">
        <v>15.020848786585958</v>
      </c>
    </row>
    <row r="94" spans="1:14" x14ac:dyDescent="0.35">
      <c r="B94" s="79" t="s">
        <v>293</v>
      </c>
      <c r="C94" s="138">
        <v>4.9666295910150859</v>
      </c>
      <c r="D94" s="138">
        <v>1.9023558029810785</v>
      </c>
      <c r="E94" s="138">
        <v>3.5991648587063039</v>
      </c>
      <c r="F94" s="138">
        <v>0.8384857394632409</v>
      </c>
      <c r="G94" s="138">
        <v>1.249297795385272</v>
      </c>
    </row>
    <row r="95" spans="1:14" x14ac:dyDescent="0.35">
      <c r="B95" s="79" t="s">
        <v>345</v>
      </c>
      <c r="C95" s="138">
        <v>17.302759783869359</v>
      </c>
      <c r="D95" s="138">
        <v>14.857639625814246</v>
      </c>
      <c r="E95" s="138">
        <v>18.517642783141909</v>
      </c>
      <c r="F95" s="138">
        <v>14.011332413838312</v>
      </c>
      <c r="G95" s="138">
        <v>26.684127042442906</v>
      </c>
    </row>
    <row r="97" spans="1:15" x14ac:dyDescent="0.35">
      <c r="M97" s="138"/>
      <c r="N97" s="138"/>
    </row>
    <row r="98" spans="1:15" x14ac:dyDescent="0.35">
      <c r="N98" s="138"/>
      <c r="O98" s="138"/>
    </row>
    <row r="99" spans="1:15" x14ac:dyDescent="0.35">
      <c r="A99" s="3" t="s">
        <v>971</v>
      </c>
      <c r="C99" s="133" t="s">
        <v>965</v>
      </c>
      <c r="D99" s="134" t="s">
        <v>966</v>
      </c>
      <c r="E99" s="135" t="s">
        <v>967</v>
      </c>
      <c r="F99" s="136" t="s">
        <v>968</v>
      </c>
      <c r="G99" s="137" t="s">
        <v>969</v>
      </c>
      <c r="N99" s="138"/>
      <c r="O99" s="138"/>
    </row>
    <row r="100" spans="1:15" x14ac:dyDescent="0.35">
      <c r="B100" s="79" t="s">
        <v>21</v>
      </c>
      <c r="C100" s="138">
        <v>41.417674752821362</v>
      </c>
      <c r="D100" s="138">
        <v>37.182116773283553</v>
      </c>
      <c r="E100" s="138">
        <v>41.478756538796212</v>
      </c>
      <c r="F100" s="138">
        <v>40.034315806359224</v>
      </c>
      <c r="G100" s="138">
        <v>38.921497464037557</v>
      </c>
      <c r="N100" s="138"/>
      <c r="O100" s="138"/>
    </row>
    <row r="101" spans="1:15" x14ac:dyDescent="0.35">
      <c r="B101" s="79" t="s">
        <v>927</v>
      </c>
      <c r="C101" s="138">
        <v>7.2573872293579882</v>
      </c>
      <c r="D101" s="138">
        <v>10.448644762808129</v>
      </c>
      <c r="E101" s="138">
        <v>13.683568463929698</v>
      </c>
      <c r="F101" s="138">
        <v>12.142440271873427</v>
      </c>
      <c r="G101" s="138">
        <v>14.813834782945742</v>
      </c>
    </row>
    <row r="102" spans="1:15" x14ac:dyDescent="0.35">
      <c r="B102" s="79" t="s">
        <v>182</v>
      </c>
      <c r="C102" s="138">
        <v>12.45375101473625</v>
      </c>
      <c r="D102" s="138">
        <v>15.790824883475198</v>
      </c>
      <c r="E102" s="138">
        <v>15.049390642600576</v>
      </c>
      <c r="F102" s="138">
        <v>10.32658565684981</v>
      </c>
      <c r="G102" s="138">
        <v>10.192856812126221</v>
      </c>
    </row>
    <row r="103" spans="1:15" x14ac:dyDescent="0.35">
      <c r="B103" s="79" t="s">
        <v>964</v>
      </c>
      <c r="C103" s="138">
        <v>25.94592190285913</v>
      </c>
      <c r="D103" s="138">
        <v>19.503782807586195</v>
      </c>
      <c r="E103" s="138">
        <v>12.044463652500472</v>
      </c>
      <c r="F103" s="138">
        <v>25.079322717783352</v>
      </c>
      <c r="G103" s="138">
        <v>20.416170432503538</v>
      </c>
    </row>
    <row r="104" spans="1:15" x14ac:dyDescent="0.35">
      <c r="B104" s="79" t="s">
        <v>293</v>
      </c>
      <c r="C104" s="138">
        <v>10.768255003530918</v>
      </c>
      <c r="D104" s="138">
        <v>13.105806578747519</v>
      </c>
      <c r="E104" s="138">
        <v>15.404542852815228</v>
      </c>
      <c r="F104" s="138">
        <v>9.4519574638902917</v>
      </c>
      <c r="G104" s="138">
        <v>11.633047515262691</v>
      </c>
    </row>
    <row r="105" spans="1:15" x14ac:dyDescent="0.35">
      <c r="B105" s="79" t="s">
        <v>345</v>
      </c>
      <c r="C105" s="138">
        <v>2.1570100966943628</v>
      </c>
      <c r="D105" s="138">
        <v>3.9688241940993914</v>
      </c>
      <c r="E105" s="138">
        <v>2.3392778493578188</v>
      </c>
      <c r="F105" s="138">
        <v>2.965378083243881</v>
      </c>
      <c r="G105" s="138">
        <v>4.0225929931242312</v>
      </c>
    </row>
  </sheetData>
  <sheetProtection algorithmName="SHA-512" hashValue="lQT7dJMSGzK6jRjprpqcu37m65MhUf5pUpPZwFlmEulUbxliTp1Kbdz6i6XTcy3jnWJ5hhhTdTxnposs4HF0xA==" saltValue="TdweaQE5BAMdsmfjKInqRQ==" spinCount="100000"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theme="6"/>
    <pageSetUpPr fitToPage="1"/>
  </sheetPr>
  <dimension ref="A1:T123"/>
  <sheetViews>
    <sheetView zoomScale="60" zoomScaleNormal="60" workbookViewId="0">
      <pane ySplit="1" topLeftCell="A2" activePane="bottomLeft" state="frozen"/>
      <selection pane="bottomLeft" activeCell="G9" sqref="G9"/>
    </sheetView>
  </sheetViews>
  <sheetFormatPr defaultColWidth="9.453125" defaultRowHeight="14.5" outlineLevelCol="1" x14ac:dyDescent="0.35"/>
  <cols>
    <col min="1" max="8" width="29.54296875" style="23" customWidth="1"/>
    <col min="9" max="9" width="27.36328125" style="23" customWidth="1"/>
    <col min="10" max="10" width="12.81640625" style="23" customWidth="1" outlineLevel="1"/>
    <col min="11" max="12" width="12.81640625" style="71" customWidth="1"/>
    <col min="13" max="13" width="22.08984375" style="71" customWidth="1" collapsed="1"/>
    <col min="14" max="14" width="22.08984375" style="14" customWidth="1"/>
    <col min="15" max="20" width="12.81640625" style="12" customWidth="1"/>
  </cols>
  <sheetData>
    <row r="1" spans="1:20" ht="124.4" customHeight="1" x14ac:dyDescent="0.35">
      <c r="A1" s="9" t="s">
        <v>3</v>
      </c>
      <c r="B1" s="9" t="s">
        <v>4</v>
      </c>
      <c r="C1" s="9" t="s">
        <v>5</v>
      </c>
      <c r="D1" s="9" t="s">
        <v>6</v>
      </c>
      <c r="E1" s="9" t="s">
        <v>7</v>
      </c>
      <c r="F1" s="9" t="s">
        <v>8</v>
      </c>
      <c r="G1" s="9" t="s">
        <v>9</v>
      </c>
      <c r="H1" s="9" t="s">
        <v>10</v>
      </c>
      <c r="I1" s="9" t="s">
        <v>11</v>
      </c>
      <c r="J1" s="60" t="s">
        <v>12</v>
      </c>
      <c r="K1" s="9" t="s">
        <v>13</v>
      </c>
      <c r="L1" s="9" t="s">
        <v>14</v>
      </c>
      <c r="M1" s="9" t="s">
        <v>15</v>
      </c>
      <c r="N1" s="9" t="s">
        <v>16</v>
      </c>
      <c r="O1" s="9" t="s">
        <v>17</v>
      </c>
      <c r="P1" s="9" t="s">
        <v>18</v>
      </c>
      <c r="Q1" s="9" t="s">
        <v>19</v>
      </c>
      <c r="R1" s="9" t="s">
        <v>20</v>
      </c>
      <c r="S1" s="10">
        <f>COLUMN()</f>
        <v>19</v>
      </c>
      <c r="T1" s="10"/>
    </row>
    <row r="2" spans="1:20" ht="72.5" x14ac:dyDescent="0.35">
      <c r="A2" s="11" t="s">
        <v>21</v>
      </c>
      <c r="B2" s="11" t="s">
        <v>22</v>
      </c>
      <c r="C2" s="11" t="s">
        <v>23</v>
      </c>
      <c r="D2" s="11" t="s">
        <v>24</v>
      </c>
      <c r="E2" s="11" t="s">
        <v>25</v>
      </c>
      <c r="F2" s="11" t="s">
        <v>26</v>
      </c>
      <c r="G2" s="11" t="s">
        <v>27</v>
      </c>
      <c r="H2" s="11" t="s">
        <v>1071</v>
      </c>
      <c r="I2" s="11" t="s">
        <v>29</v>
      </c>
      <c r="J2" s="61" t="s">
        <v>30</v>
      </c>
      <c r="K2" s="11">
        <v>1</v>
      </c>
      <c r="L2" s="11">
        <v>1</v>
      </c>
      <c r="M2" s="11" t="s">
        <v>1072</v>
      </c>
      <c r="N2" s="61" t="s">
        <v>32</v>
      </c>
      <c r="O2" s="61" t="s">
        <v>33</v>
      </c>
      <c r="P2" s="61" t="s">
        <v>34</v>
      </c>
      <c r="Q2" s="61" t="s">
        <v>35</v>
      </c>
      <c r="R2" s="61" t="s">
        <v>36</v>
      </c>
      <c r="S2" s="12" t="s">
        <v>37</v>
      </c>
    </row>
    <row r="3" spans="1:20" ht="145" x14ac:dyDescent="0.35">
      <c r="A3" s="11" t="s">
        <v>21</v>
      </c>
      <c r="B3" s="11" t="s">
        <v>38</v>
      </c>
      <c r="C3" s="11" t="s">
        <v>23</v>
      </c>
      <c r="D3" s="11" t="s">
        <v>39</v>
      </c>
      <c r="E3" s="11" t="s">
        <v>25</v>
      </c>
      <c r="F3" s="11" t="s">
        <v>40</v>
      </c>
      <c r="G3" s="11" t="s">
        <v>41</v>
      </c>
      <c r="H3" s="11" t="s">
        <v>42</v>
      </c>
      <c r="I3" s="11"/>
      <c r="J3" s="61" t="s">
        <v>30</v>
      </c>
      <c r="K3" s="11">
        <v>1</v>
      </c>
      <c r="L3" s="11">
        <v>1</v>
      </c>
      <c r="M3" s="11" t="s">
        <v>43</v>
      </c>
      <c r="N3" s="61" t="s">
        <v>44</v>
      </c>
      <c r="O3" s="61" t="s">
        <v>33</v>
      </c>
      <c r="P3" s="61" t="s">
        <v>34</v>
      </c>
      <c r="Q3" s="61" t="s">
        <v>35</v>
      </c>
      <c r="R3" s="61" t="s">
        <v>45</v>
      </c>
      <c r="S3" s="12" t="s">
        <v>37</v>
      </c>
    </row>
    <row r="4" spans="1:20" ht="159.5" x14ac:dyDescent="0.35">
      <c r="A4" s="11" t="s">
        <v>21</v>
      </c>
      <c r="B4" s="11" t="s">
        <v>46</v>
      </c>
      <c r="C4" s="11" t="s">
        <v>23</v>
      </c>
      <c r="D4" s="11" t="s">
        <v>47</v>
      </c>
      <c r="E4" s="11" t="s">
        <v>25</v>
      </c>
      <c r="F4" s="11" t="s">
        <v>48</v>
      </c>
      <c r="G4" s="11" t="s">
        <v>49</v>
      </c>
      <c r="H4" s="11"/>
      <c r="I4" s="11"/>
      <c r="J4" s="61" t="s">
        <v>30</v>
      </c>
      <c r="K4" s="11">
        <v>1</v>
      </c>
      <c r="L4" s="11">
        <v>1</v>
      </c>
      <c r="M4" s="11" t="s">
        <v>50</v>
      </c>
      <c r="N4" s="61" t="s">
        <v>51</v>
      </c>
      <c r="O4" s="61" t="s">
        <v>33</v>
      </c>
      <c r="P4" s="61" t="s">
        <v>34</v>
      </c>
      <c r="Q4" s="61" t="s">
        <v>35</v>
      </c>
      <c r="R4" s="61" t="s">
        <v>45</v>
      </c>
      <c r="S4" s="12" t="s">
        <v>37</v>
      </c>
    </row>
    <row r="5" spans="1:20" ht="188.5" x14ac:dyDescent="0.35">
      <c r="A5" s="11" t="s">
        <v>21</v>
      </c>
      <c r="B5" s="11" t="s">
        <v>52</v>
      </c>
      <c r="C5" s="11" t="s">
        <v>23</v>
      </c>
      <c r="D5" s="11" t="s">
        <v>53</v>
      </c>
      <c r="E5" s="11" t="s">
        <v>25</v>
      </c>
      <c r="F5" s="11" t="s">
        <v>54</v>
      </c>
      <c r="G5" s="11" t="s">
        <v>55</v>
      </c>
      <c r="H5" s="11" t="s">
        <v>56</v>
      </c>
      <c r="I5" s="11" t="s">
        <v>57</v>
      </c>
      <c r="J5" s="61" t="s">
        <v>30</v>
      </c>
      <c r="K5" s="11">
        <v>1</v>
      </c>
      <c r="L5" s="11">
        <v>1</v>
      </c>
      <c r="M5" s="11" t="s">
        <v>58</v>
      </c>
      <c r="N5" s="61" t="s">
        <v>59</v>
      </c>
      <c r="O5" s="61" t="s">
        <v>33</v>
      </c>
      <c r="P5" s="61" t="s">
        <v>60</v>
      </c>
      <c r="Q5" s="61" t="s">
        <v>35</v>
      </c>
      <c r="R5" s="61" t="s">
        <v>61</v>
      </c>
      <c r="S5" s="12" t="s">
        <v>37</v>
      </c>
    </row>
    <row r="6" spans="1:20" ht="116" x14ac:dyDescent="0.35">
      <c r="A6" s="11" t="s">
        <v>21</v>
      </c>
      <c r="B6" s="11" t="s">
        <v>62</v>
      </c>
      <c r="C6" s="11" t="s">
        <v>23</v>
      </c>
      <c r="D6" s="11" t="s">
        <v>63</v>
      </c>
      <c r="E6" s="11" t="s">
        <v>25</v>
      </c>
      <c r="F6" s="11" t="s">
        <v>64</v>
      </c>
      <c r="G6" s="11" t="s">
        <v>65</v>
      </c>
      <c r="H6" s="11" t="s">
        <v>66</v>
      </c>
      <c r="I6" s="11"/>
      <c r="J6" s="61" t="s">
        <v>30</v>
      </c>
      <c r="K6" s="11">
        <v>1</v>
      </c>
      <c r="L6" s="11">
        <v>1</v>
      </c>
      <c r="M6" s="11" t="s">
        <v>31</v>
      </c>
      <c r="N6" s="61" t="s">
        <v>67</v>
      </c>
      <c r="O6" s="61" t="s">
        <v>33</v>
      </c>
      <c r="P6" s="61" t="s">
        <v>34</v>
      </c>
      <c r="Q6" s="61" t="s">
        <v>35</v>
      </c>
      <c r="R6" s="61" t="s">
        <v>68</v>
      </c>
      <c r="S6" s="12" t="s">
        <v>37</v>
      </c>
    </row>
    <row r="7" spans="1:20" ht="145" x14ac:dyDescent="0.35">
      <c r="A7" s="11" t="s">
        <v>21</v>
      </c>
      <c r="B7" s="11" t="s">
        <v>69</v>
      </c>
      <c r="C7" s="11" t="s">
        <v>23</v>
      </c>
      <c r="D7" s="11" t="s">
        <v>70</v>
      </c>
      <c r="E7" s="11" t="s">
        <v>71</v>
      </c>
      <c r="F7" s="11" t="s">
        <v>72</v>
      </c>
      <c r="G7" s="11" t="s">
        <v>73</v>
      </c>
      <c r="H7" s="11"/>
      <c r="I7" s="11"/>
      <c r="J7" s="61"/>
      <c r="K7" s="11">
        <v>1</v>
      </c>
      <c r="L7" s="11">
        <v>1</v>
      </c>
      <c r="M7" s="11" t="s">
        <v>74</v>
      </c>
      <c r="N7" s="61" t="s">
        <v>75</v>
      </c>
      <c r="O7" s="61" t="s">
        <v>33</v>
      </c>
      <c r="P7" s="61" t="s">
        <v>34</v>
      </c>
      <c r="Q7" s="61" t="s">
        <v>35</v>
      </c>
      <c r="R7" s="61" t="s">
        <v>68</v>
      </c>
      <c r="S7" s="12" t="s">
        <v>37</v>
      </c>
    </row>
    <row r="8" spans="1:20" ht="217.5" x14ac:dyDescent="0.35">
      <c r="A8" s="11" t="s">
        <v>21</v>
      </c>
      <c r="B8" s="11" t="s">
        <v>76</v>
      </c>
      <c r="C8" s="11" t="s">
        <v>23</v>
      </c>
      <c r="D8" s="11" t="s">
        <v>77</v>
      </c>
      <c r="E8" s="11" t="s">
        <v>25</v>
      </c>
      <c r="F8" s="11" t="s">
        <v>78</v>
      </c>
      <c r="G8" s="11" t="s">
        <v>79</v>
      </c>
      <c r="H8" s="11"/>
      <c r="I8" s="11"/>
      <c r="J8" s="61"/>
      <c r="K8" s="11">
        <v>1</v>
      </c>
      <c r="L8" s="11">
        <v>1</v>
      </c>
      <c r="M8" s="11" t="s">
        <v>31</v>
      </c>
      <c r="N8" s="61" t="s">
        <v>80</v>
      </c>
      <c r="O8" s="61" t="s">
        <v>81</v>
      </c>
      <c r="P8" s="61" t="s">
        <v>82</v>
      </c>
      <c r="Q8" s="61" t="s">
        <v>82</v>
      </c>
      <c r="R8" s="61" t="s">
        <v>83</v>
      </c>
      <c r="S8" s="12" t="s">
        <v>37</v>
      </c>
    </row>
    <row r="9" spans="1:20" ht="116" x14ac:dyDescent="0.35">
      <c r="A9" s="11" t="s">
        <v>21</v>
      </c>
      <c r="B9" s="11" t="s">
        <v>84</v>
      </c>
      <c r="C9" s="11" t="s">
        <v>85</v>
      </c>
      <c r="D9" s="59" t="s">
        <v>1079</v>
      </c>
      <c r="E9" s="11" t="s">
        <v>86</v>
      </c>
      <c r="F9" s="11" t="s">
        <v>87</v>
      </c>
      <c r="G9" s="11" t="s">
        <v>88</v>
      </c>
      <c r="H9" s="11"/>
      <c r="I9" s="11"/>
      <c r="J9" s="61" t="s">
        <v>30</v>
      </c>
      <c r="K9" s="11">
        <v>1</v>
      </c>
      <c r="L9" s="11">
        <v>1</v>
      </c>
      <c r="M9" s="11" t="s">
        <v>89</v>
      </c>
      <c r="N9" s="61" t="s">
        <v>90</v>
      </c>
      <c r="O9" s="61" t="s">
        <v>33</v>
      </c>
      <c r="P9" s="61" t="s">
        <v>91</v>
      </c>
      <c r="Q9" s="61" t="s">
        <v>35</v>
      </c>
      <c r="R9" s="61" t="s">
        <v>83</v>
      </c>
      <c r="S9" s="12" t="s">
        <v>37</v>
      </c>
    </row>
    <row r="10" spans="1:20" ht="246.5" x14ac:dyDescent="0.35">
      <c r="A10" s="11" t="s">
        <v>21</v>
      </c>
      <c r="B10" s="11" t="s">
        <v>92</v>
      </c>
      <c r="C10" s="11" t="s">
        <v>85</v>
      </c>
      <c r="D10" s="11" t="s">
        <v>93</v>
      </c>
      <c r="E10" s="11" t="s">
        <v>94</v>
      </c>
      <c r="F10" s="11" t="s">
        <v>95</v>
      </c>
      <c r="G10" s="11" t="s">
        <v>96</v>
      </c>
      <c r="H10" s="11"/>
      <c r="I10" s="11"/>
      <c r="J10" s="61" t="s">
        <v>1078</v>
      </c>
      <c r="K10" s="11">
        <v>1</v>
      </c>
      <c r="L10" s="11">
        <v>1</v>
      </c>
      <c r="M10" s="11" t="s">
        <v>99</v>
      </c>
      <c r="N10" s="61" t="s">
        <v>100</v>
      </c>
      <c r="O10" s="61" t="s">
        <v>33</v>
      </c>
      <c r="P10" s="61" t="s">
        <v>91</v>
      </c>
      <c r="Q10" s="61" t="s">
        <v>35</v>
      </c>
      <c r="R10" s="61" t="s">
        <v>60</v>
      </c>
      <c r="S10" s="12" t="s">
        <v>37</v>
      </c>
    </row>
    <row r="11" spans="1:20" ht="159.5" x14ac:dyDescent="0.35">
      <c r="A11" s="11" t="s">
        <v>21</v>
      </c>
      <c r="B11" s="11" t="s">
        <v>101</v>
      </c>
      <c r="C11" s="11" t="s">
        <v>85</v>
      </c>
      <c r="D11" s="11" t="s">
        <v>108</v>
      </c>
      <c r="E11" s="11" t="s">
        <v>109</v>
      </c>
      <c r="F11" s="11" t="s">
        <v>110</v>
      </c>
      <c r="G11" s="11" t="s">
        <v>111</v>
      </c>
      <c r="H11" s="11"/>
      <c r="I11" s="11"/>
      <c r="J11" s="61"/>
      <c r="K11" s="11" t="s">
        <v>112</v>
      </c>
      <c r="L11" s="11">
        <v>1</v>
      </c>
      <c r="M11" s="11"/>
      <c r="N11" s="61" t="s">
        <v>113</v>
      </c>
      <c r="O11" s="61" t="s">
        <v>81</v>
      </c>
      <c r="P11" s="61" t="s">
        <v>82</v>
      </c>
      <c r="Q11" s="61" t="s">
        <v>82</v>
      </c>
      <c r="R11" s="61" t="s">
        <v>83</v>
      </c>
      <c r="S11" s="12" t="s">
        <v>37</v>
      </c>
    </row>
    <row r="12" spans="1:20" ht="246.5" x14ac:dyDescent="0.35">
      <c r="A12" s="11" t="s">
        <v>21</v>
      </c>
      <c r="B12" s="11" t="s">
        <v>107</v>
      </c>
      <c r="C12" s="11" t="s">
        <v>85</v>
      </c>
      <c r="D12" s="11" t="s">
        <v>102</v>
      </c>
      <c r="E12" s="11" t="s">
        <v>103</v>
      </c>
      <c r="F12" s="11" t="s">
        <v>1073</v>
      </c>
      <c r="G12" s="11" t="s">
        <v>1074</v>
      </c>
      <c r="H12" s="11" t="s">
        <v>1075</v>
      </c>
      <c r="I12" s="59" t="s">
        <v>1076</v>
      </c>
      <c r="J12" s="72" t="s">
        <v>98</v>
      </c>
      <c r="K12" s="11">
        <v>1</v>
      </c>
      <c r="L12" s="11">
        <v>1</v>
      </c>
      <c r="M12" s="11" t="s">
        <v>105</v>
      </c>
      <c r="N12" s="61" t="s">
        <v>106</v>
      </c>
      <c r="O12" s="61" t="s">
        <v>33</v>
      </c>
      <c r="P12" s="61" t="s">
        <v>34</v>
      </c>
      <c r="Q12" s="61" t="s">
        <v>35</v>
      </c>
      <c r="R12" s="61" t="s">
        <v>83</v>
      </c>
      <c r="S12" s="12" t="s">
        <v>37</v>
      </c>
    </row>
    <row r="13" spans="1:20" ht="93.75" hidden="1" customHeight="1" x14ac:dyDescent="0.35">
      <c r="A13" s="11" t="s">
        <v>21</v>
      </c>
      <c r="B13" s="11" t="s">
        <v>114</v>
      </c>
      <c r="C13" s="11" t="s">
        <v>85</v>
      </c>
      <c r="D13" s="11" t="s">
        <v>115</v>
      </c>
      <c r="E13" s="11" t="s">
        <v>116</v>
      </c>
      <c r="F13" s="11" t="s">
        <v>117</v>
      </c>
      <c r="G13" s="11" t="s">
        <v>118</v>
      </c>
      <c r="H13" s="11" t="s">
        <v>119</v>
      </c>
      <c r="I13" s="11"/>
      <c r="J13" s="61" t="s">
        <v>120</v>
      </c>
      <c r="K13" s="11">
        <v>0</v>
      </c>
      <c r="L13" s="11">
        <v>0</v>
      </c>
      <c r="M13" s="11" t="s">
        <v>121</v>
      </c>
      <c r="N13" s="61" t="s">
        <v>122</v>
      </c>
      <c r="O13" s="61" t="s">
        <v>33</v>
      </c>
      <c r="P13" s="61" t="s">
        <v>91</v>
      </c>
      <c r="Q13" s="61" t="s">
        <v>123</v>
      </c>
      <c r="R13" s="61" t="s">
        <v>60</v>
      </c>
      <c r="S13" s="12" t="s">
        <v>37</v>
      </c>
    </row>
    <row r="14" spans="1:20" ht="171.75" customHeight="1" x14ac:dyDescent="0.35">
      <c r="A14" s="11" t="s">
        <v>21</v>
      </c>
      <c r="B14" s="11" t="s">
        <v>124</v>
      </c>
      <c r="C14" s="11" t="s">
        <v>125</v>
      </c>
      <c r="D14" s="11" t="s">
        <v>126</v>
      </c>
      <c r="E14" s="11" t="s">
        <v>81</v>
      </c>
      <c r="F14" s="11" t="s">
        <v>127</v>
      </c>
      <c r="G14" s="11" t="s">
        <v>128</v>
      </c>
      <c r="H14" s="11" t="s">
        <v>129</v>
      </c>
      <c r="I14" s="11" t="s">
        <v>130</v>
      </c>
      <c r="J14" s="61" t="s">
        <v>120</v>
      </c>
      <c r="K14" s="11">
        <v>1</v>
      </c>
      <c r="L14" s="11">
        <v>1</v>
      </c>
      <c r="M14" s="11"/>
      <c r="N14" s="61"/>
      <c r="O14" s="61"/>
      <c r="P14" s="61"/>
      <c r="Q14" s="61"/>
      <c r="R14" s="61"/>
      <c r="S14" s="12" t="s">
        <v>37</v>
      </c>
    </row>
    <row r="15" spans="1:20" ht="58" hidden="1" x14ac:dyDescent="0.35">
      <c r="A15" s="11" t="s">
        <v>21</v>
      </c>
      <c r="B15" s="11" t="s">
        <v>131</v>
      </c>
      <c r="C15" s="11" t="s">
        <v>132</v>
      </c>
      <c r="D15" s="11" t="s">
        <v>132</v>
      </c>
      <c r="E15" s="11" t="s">
        <v>133</v>
      </c>
      <c r="F15" s="11" t="s">
        <v>134</v>
      </c>
      <c r="G15" s="11"/>
      <c r="H15" s="11"/>
      <c r="I15" s="11"/>
      <c r="J15" s="20" t="s">
        <v>81</v>
      </c>
      <c r="K15" s="11" t="s">
        <v>112</v>
      </c>
      <c r="L15" s="59">
        <v>0</v>
      </c>
      <c r="M15" s="11" t="s">
        <v>135</v>
      </c>
      <c r="N15" s="11" t="s">
        <v>135</v>
      </c>
      <c r="O15" s="11" t="s">
        <v>81</v>
      </c>
      <c r="P15" s="11" t="s">
        <v>136</v>
      </c>
      <c r="Q15" s="11" t="s">
        <v>60</v>
      </c>
      <c r="R15" s="11" t="s">
        <v>60</v>
      </c>
      <c r="S15" s="12" t="s">
        <v>37</v>
      </c>
    </row>
    <row r="16" spans="1:20" ht="123" customHeight="1" x14ac:dyDescent="0.35">
      <c r="A16" s="13" t="s">
        <v>137</v>
      </c>
      <c r="B16" s="13" t="s">
        <v>138</v>
      </c>
      <c r="C16" s="13" t="s">
        <v>139</v>
      </c>
      <c r="D16" s="13" t="s">
        <v>140</v>
      </c>
      <c r="E16" s="13" t="s">
        <v>141</v>
      </c>
      <c r="F16" s="13" t="s">
        <v>142</v>
      </c>
      <c r="G16" s="13" t="s">
        <v>143</v>
      </c>
      <c r="H16" s="13" t="s">
        <v>144</v>
      </c>
      <c r="I16" s="13"/>
      <c r="J16" s="72" t="s">
        <v>145</v>
      </c>
      <c r="K16" s="11">
        <v>1</v>
      </c>
      <c r="L16" s="11">
        <v>1</v>
      </c>
      <c r="M16" s="13" t="s">
        <v>146</v>
      </c>
      <c r="N16" s="62" t="s">
        <v>147</v>
      </c>
      <c r="O16" s="62" t="s">
        <v>33</v>
      </c>
      <c r="P16" s="62" t="s">
        <v>60</v>
      </c>
      <c r="Q16" s="62" t="s">
        <v>35</v>
      </c>
      <c r="R16" s="62" t="s">
        <v>83</v>
      </c>
      <c r="S16" s="12" t="s">
        <v>916</v>
      </c>
    </row>
    <row r="17" spans="1:19" ht="217.5" x14ac:dyDescent="0.35">
      <c r="A17" s="13" t="s">
        <v>137</v>
      </c>
      <c r="B17" s="13" t="s">
        <v>148</v>
      </c>
      <c r="C17" s="13" t="s">
        <v>139</v>
      </c>
      <c r="D17" s="13" t="s">
        <v>149</v>
      </c>
      <c r="E17" s="13" t="s">
        <v>141</v>
      </c>
      <c r="F17" s="13" t="s">
        <v>142</v>
      </c>
      <c r="G17" s="13" t="s">
        <v>150</v>
      </c>
      <c r="H17" s="13" t="s">
        <v>151</v>
      </c>
      <c r="I17" s="13"/>
      <c r="J17" s="72" t="s">
        <v>145</v>
      </c>
      <c r="K17" s="11">
        <v>1</v>
      </c>
      <c r="L17" s="11">
        <v>1</v>
      </c>
      <c r="M17" s="13" t="s">
        <v>152</v>
      </c>
      <c r="N17" s="62" t="s">
        <v>153</v>
      </c>
      <c r="O17" s="62" t="s">
        <v>33</v>
      </c>
      <c r="P17" s="62" t="s">
        <v>60</v>
      </c>
      <c r="Q17" s="62" t="s">
        <v>35</v>
      </c>
      <c r="R17" s="62" t="s">
        <v>83</v>
      </c>
      <c r="S17" s="12" t="s">
        <v>916</v>
      </c>
    </row>
    <row r="18" spans="1:19" ht="101.5" hidden="1" x14ac:dyDescent="0.35">
      <c r="A18" s="13" t="s">
        <v>137</v>
      </c>
      <c r="B18" s="13" t="s">
        <v>154</v>
      </c>
      <c r="C18" s="13" t="s">
        <v>139</v>
      </c>
      <c r="D18" s="13" t="s">
        <v>155</v>
      </c>
      <c r="E18" s="13" t="s">
        <v>156</v>
      </c>
      <c r="F18" s="13" t="s">
        <v>157</v>
      </c>
      <c r="G18" s="13" t="s">
        <v>158</v>
      </c>
      <c r="H18" s="13" t="s">
        <v>159</v>
      </c>
      <c r="I18" s="13"/>
      <c r="J18" s="62" t="s">
        <v>30</v>
      </c>
      <c r="K18" s="11">
        <v>1</v>
      </c>
      <c r="L18" s="59">
        <v>0</v>
      </c>
      <c r="M18" s="13"/>
      <c r="N18" s="73" t="s">
        <v>160</v>
      </c>
      <c r="O18" s="62" t="s">
        <v>33</v>
      </c>
      <c r="P18" s="62" t="s">
        <v>60</v>
      </c>
      <c r="Q18" s="62" t="s">
        <v>161</v>
      </c>
      <c r="R18" s="62" t="s">
        <v>83</v>
      </c>
    </row>
    <row r="19" spans="1:19" ht="116" x14ac:dyDescent="0.35">
      <c r="A19" s="13" t="s">
        <v>137</v>
      </c>
      <c r="B19" s="13" t="s">
        <v>162</v>
      </c>
      <c r="C19" s="13" t="s">
        <v>139</v>
      </c>
      <c r="D19" s="13" t="s">
        <v>163</v>
      </c>
      <c r="E19" s="13" t="s">
        <v>164</v>
      </c>
      <c r="F19" s="13" t="s">
        <v>165</v>
      </c>
      <c r="G19" s="13" t="s">
        <v>166</v>
      </c>
      <c r="H19" s="13" t="s">
        <v>167</v>
      </c>
      <c r="I19" s="13"/>
      <c r="J19" s="62" t="s">
        <v>30</v>
      </c>
      <c r="K19" s="11">
        <v>1</v>
      </c>
      <c r="L19" s="11">
        <v>1</v>
      </c>
      <c r="M19" s="13" t="s">
        <v>168</v>
      </c>
      <c r="N19" s="62" t="s">
        <v>169</v>
      </c>
      <c r="O19" s="62" t="s">
        <v>33</v>
      </c>
      <c r="P19" s="62" t="s">
        <v>136</v>
      </c>
      <c r="Q19" s="62" t="s">
        <v>35</v>
      </c>
      <c r="R19" s="62" t="s">
        <v>83</v>
      </c>
      <c r="S19" s="12" t="s">
        <v>916</v>
      </c>
    </row>
    <row r="20" spans="1:19" ht="75.75" hidden="1" customHeight="1" x14ac:dyDescent="0.35">
      <c r="A20" s="13" t="s">
        <v>137</v>
      </c>
      <c r="B20" s="13" t="s">
        <v>170</v>
      </c>
      <c r="C20" s="13" t="s">
        <v>171</v>
      </c>
      <c r="D20" s="13" t="s">
        <v>172</v>
      </c>
      <c r="E20" s="13" t="s">
        <v>173</v>
      </c>
      <c r="F20" s="13" t="s">
        <v>174</v>
      </c>
      <c r="G20" s="13" t="s">
        <v>175</v>
      </c>
      <c r="H20" s="13"/>
      <c r="I20" s="13"/>
      <c r="J20" s="62" t="s">
        <v>30</v>
      </c>
      <c r="K20" s="11">
        <v>1</v>
      </c>
      <c r="L20" s="11">
        <v>0</v>
      </c>
      <c r="M20" s="13" t="s">
        <v>176</v>
      </c>
      <c r="N20" s="62" t="s">
        <v>177</v>
      </c>
      <c r="O20" s="62" t="s">
        <v>33</v>
      </c>
      <c r="P20" s="62" t="s">
        <v>83</v>
      </c>
      <c r="Q20" s="62" t="s">
        <v>35</v>
      </c>
      <c r="R20" s="62" t="s">
        <v>91</v>
      </c>
    </row>
    <row r="21" spans="1:19" ht="81" customHeight="1" x14ac:dyDescent="0.35">
      <c r="A21" s="13" t="s">
        <v>137</v>
      </c>
      <c r="B21" s="13" t="s">
        <v>178</v>
      </c>
      <c r="C21" s="13" t="s">
        <v>125</v>
      </c>
      <c r="D21" s="13" t="s">
        <v>179</v>
      </c>
      <c r="E21" s="13" t="s">
        <v>81</v>
      </c>
      <c r="F21" s="13" t="s">
        <v>127</v>
      </c>
      <c r="G21" s="13" t="s">
        <v>128</v>
      </c>
      <c r="H21" s="13" t="s">
        <v>129</v>
      </c>
      <c r="I21" s="13" t="s">
        <v>130</v>
      </c>
      <c r="J21" s="59" t="s">
        <v>120</v>
      </c>
      <c r="K21" s="11">
        <v>1</v>
      </c>
      <c r="L21" s="11">
        <v>1</v>
      </c>
      <c r="M21" s="13"/>
      <c r="N21" s="62"/>
      <c r="O21" s="62"/>
      <c r="P21" s="62"/>
      <c r="Q21" s="62"/>
      <c r="R21" s="62"/>
      <c r="S21" s="12" t="s">
        <v>916</v>
      </c>
    </row>
    <row r="22" spans="1:19" ht="58" hidden="1" x14ac:dyDescent="0.35">
      <c r="A22" s="13" t="s">
        <v>137</v>
      </c>
      <c r="B22" s="13" t="s">
        <v>180</v>
      </c>
      <c r="C22" s="13" t="s">
        <v>132</v>
      </c>
      <c r="D22" s="13" t="s">
        <v>132</v>
      </c>
      <c r="E22" s="13" t="s">
        <v>133</v>
      </c>
      <c r="F22" s="13" t="s">
        <v>181</v>
      </c>
      <c r="G22" s="13"/>
      <c r="H22" s="13"/>
      <c r="I22" s="13"/>
      <c r="J22" s="13" t="s">
        <v>81</v>
      </c>
      <c r="K22" s="13" t="s">
        <v>112</v>
      </c>
      <c r="L22" s="11">
        <v>0</v>
      </c>
      <c r="M22" s="13" t="s">
        <v>135</v>
      </c>
      <c r="N22" s="62" t="s">
        <v>135</v>
      </c>
      <c r="O22" s="62" t="s">
        <v>81</v>
      </c>
      <c r="P22" s="62" t="s">
        <v>136</v>
      </c>
      <c r="Q22" s="62" t="s">
        <v>60</v>
      </c>
      <c r="R22" s="62" t="s">
        <v>60</v>
      </c>
      <c r="S22" s="12" t="s">
        <v>916</v>
      </c>
    </row>
    <row r="23" spans="1:19" ht="130.5" x14ac:dyDescent="0.35">
      <c r="A23" s="15" t="s">
        <v>182</v>
      </c>
      <c r="B23" s="15" t="s">
        <v>183</v>
      </c>
      <c r="C23" s="15" t="s">
        <v>184</v>
      </c>
      <c r="D23" s="15" t="s">
        <v>185</v>
      </c>
      <c r="E23" s="15" t="s">
        <v>25</v>
      </c>
      <c r="F23" s="15" t="s">
        <v>40</v>
      </c>
      <c r="G23" s="15" t="s">
        <v>186</v>
      </c>
      <c r="H23" s="15" t="s">
        <v>28</v>
      </c>
      <c r="I23" s="15" t="s">
        <v>29</v>
      </c>
      <c r="J23" s="63" t="s">
        <v>30</v>
      </c>
      <c r="K23" s="11">
        <v>1</v>
      </c>
      <c r="L23" s="11">
        <v>1</v>
      </c>
      <c r="M23" s="15" t="s">
        <v>187</v>
      </c>
      <c r="N23" s="63" t="s">
        <v>188</v>
      </c>
      <c r="O23" s="63" t="s">
        <v>33</v>
      </c>
      <c r="P23" s="63" t="s">
        <v>189</v>
      </c>
      <c r="Q23" s="63" t="s">
        <v>35</v>
      </c>
      <c r="R23" s="63" t="s">
        <v>36</v>
      </c>
      <c r="S23" s="12" t="s">
        <v>749</v>
      </c>
    </row>
    <row r="24" spans="1:19" ht="145" x14ac:dyDescent="0.35">
      <c r="A24" s="15" t="s">
        <v>182</v>
      </c>
      <c r="B24" s="15" t="s">
        <v>190</v>
      </c>
      <c r="C24" s="15" t="s">
        <v>184</v>
      </c>
      <c r="D24" s="15" t="s">
        <v>191</v>
      </c>
      <c r="E24" s="15" t="s">
        <v>25</v>
      </c>
      <c r="F24" s="15" t="s">
        <v>40</v>
      </c>
      <c r="G24" s="15" t="s">
        <v>41</v>
      </c>
      <c r="H24" s="15" t="s">
        <v>42</v>
      </c>
      <c r="I24" s="15"/>
      <c r="J24" s="63" t="s">
        <v>30</v>
      </c>
      <c r="K24" s="11">
        <v>1</v>
      </c>
      <c r="L24" s="11">
        <v>1</v>
      </c>
      <c r="M24" s="15" t="s">
        <v>192</v>
      </c>
      <c r="N24" s="63" t="s">
        <v>193</v>
      </c>
      <c r="O24" s="63" t="s">
        <v>33</v>
      </c>
      <c r="P24" s="63" t="s">
        <v>189</v>
      </c>
      <c r="Q24" s="63" t="s">
        <v>35</v>
      </c>
      <c r="R24" s="63" t="s">
        <v>83</v>
      </c>
      <c r="S24" s="12" t="s">
        <v>749</v>
      </c>
    </row>
    <row r="25" spans="1:19" ht="159.5" x14ac:dyDescent="0.35">
      <c r="A25" s="15" t="s">
        <v>182</v>
      </c>
      <c r="B25" s="15" t="s">
        <v>194</v>
      </c>
      <c r="C25" s="15" t="s">
        <v>184</v>
      </c>
      <c r="D25" s="15" t="s">
        <v>195</v>
      </c>
      <c r="E25" s="15" t="s">
        <v>86</v>
      </c>
      <c r="F25" s="15" t="s">
        <v>48</v>
      </c>
      <c r="G25" s="15" t="s">
        <v>49</v>
      </c>
      <c r="H25" s="15"/>
      <c r="I25" s="15"/>
      <c r="J25" s="63" t="s">
        <v>30</v>
      </c>
      <c r="K25" s="11">
        <v>1</v>
      </c>
      <c r="L25" s="11">
        <v>1</v>
      </c>
      <c r="M25" s="15" t="s">
        <v>196</v>
      </c>
      <c r="N25" s="63" t="s">
        <v>51</v>
      </c>
      <c r="O25" s="63" t="s">
        <v>33</v>
      </c>
      <c r="P25" s="63" t="s">
        <v>189</v>
      </c>
      <c r="Q25" s="63" t="s">
        <v>35</v>
      </c>
      <c r="R25" s="63" t="s">
        <v>45</v>
      </c>
      <c r="S25" s="12" t="s">
        <v>749</v>
      </c>
    </row>
    <row r="26" spans="1:19" ht="188.5" x14ac:dyDescent="0.35">
      <c r="A26" s="15" t="s">
        <v>182</v>
      </c>
      <c r="B26" s="15" t="s">
        <v>197</v>
      </c>
      <c r="C26" s="15" t="s">
        <v>184</v>
      </c>
      <c r="D26" s="15" t="s">
        <v>53</v>
      </c>
      <c r="E26" s="15" t="s">
        <v>25</v>
      </c>
      <c r="F26" s="15" t="s">
        <v>54</v>
      </c>
      <c r="G26" s="15" t="s">
        <v>55</v>
      </c>
      <c r="H26" s="15" t="s">
        <v>56</v>
      </c>
      <c r="I26" s="15" t="s">
        <v>57</v>
      </c>
      <c r="J26" s="63" t="s">
        <v>30</v>
      </c>
      <c r="K26" s="11">
        <v>1</v>
      </c>
      <c r="L26" s="11">
        <v>1</v>
      </c>
      <c r="M26" s="15" t="s">
        <v>196</v>
      </c>
      <c r="N26" s="63" t="s">
        <v>59</v>
      </c>
      <c r="O26" s="63" t="s">
        <v>33</v>
      </c>
      <c r="P26" s="63" t="s">
        <v>60</v>
      </c>
      <c r="Q26" s="63" t="s">
        <v>35</v>
      </c>
      <c r="R26" s="63" t="s">
        <v>61</v>
      </c>
      <c r="S26" s="12" t="s">
        <v>749</v>
      </c>
    </row>
    <row r="27" spans="1:19" ht="116" x14ac:dyDescent="0.35">
      <c r="A27" s="15" t="s">
        <v>182</v>
      </c>
      <c r="B27" s="15" t="s">
        <v>198</v>
      </c>
      <c r="C27" s="15" t="s">
        <v>184</v>
      </c>
      <c r="D27" s="15" t="s">
        <v>199</v>
      </c>
      <c r="E27" s="15" t="s">
        <v>25</v>
      </c>
      <c r="F27" s="15" t="s">
        <v>64</v>
      </c>
      <c r="G27" s="15" t="s">
        <v>65</v>
      </c>
      <c r="H27" s="15" t="s">
        <v>66</v>
      </c>
      <c r="I27" s="15"/>
      <c r="J27" s="63" t="s">
        <v>30</v>
      </c>
      <c r="K27" s="11">
        <v>1</v>
      </c>
      <c r="L27" s="11">
        <v>1</v>
      </c>
      <c r="M27" s="15" t="s">
        <v>187</v>
      </c>
      <c r="N27" s="63" t="s">
        <v>67</v>
      </c>
      <c r="O27" s="63" t="s">
        <v>33</v>
      </c>
      <c r="P27" s="63" t="s">
        <v>189</v>
      </c>
      <c r="Q27" s="63" t="s">
        <v>35</v>
      </c>
      <c r="R27" s="63" t="s">
        <v>68</v>
      </c>
      <c r="S27" s="12" t="s">
        <v>749</v>
      </c>
    </row>
    <row r="28" spans="1:19" ht="93.75" customHeight="1" x14ac:dyDescent="0.35">
      <c r="A28" s="15" t="s">
        <v>182</v>
      </c>
      <c r="B28" s="15" t="s">
        <v>200</v>
      </c>
      <c r="C28" s="15" t="s">
        <v>184</v>
      </c>
      <c r="D28" s="15" t="s">
        <v>201</v>
      </c>
      <c r="E28" s="15" t="s">
        <v>202</v>
      </c>
      <c r="F28" s="15" t="s">
        <v>203</v>
      </c>
      <c r="G28" s="15" t="s">
        <v>204</v>
      </c>
      <c r="H28" s="15"/>
      <c r="I28" s="15"/>
      <c r="J28" s="63" t="s">
        <v>30</v>
      </c>
      <c r="K28" s="11">
        <v>1</v>
      </c>
      <c r="L28" s="11">
        <v>1</v>
      </c>
      <c r="M28" s="15" t="s">
        <v>187</v>
      </c>
      <c r="N28" s="63" t="s">
        <v>205</v>
      </c>
      <c r="O28" s="63" t="s">
        <v>33</v>
      </c>
      <c r="P28" s="63" t="s">
        <v>189</v>
      </c>
      <c r="Q28" s="63" t="s">
        <v>35</v>
      </c>
      <c r="R28" s="63" t="s">
        <v>60</v>
      </c>
      <c r="S28" s="12" t="s">
        <v>749</v>
      </c>
    </row>
    <row r="29" spans="1:19" ht="145" x14ac:dyDescent="0.35">
      <c r="A29" s="15" t="s">
        <v>182</v>
      </c>
      <c r="B29" s="15" t="s">
        <v>206</v>
      </c>
      <c r="C29" s="15" t="s">
        <v>184</v>
      </c>
      <c r="D29" s="15" t="s">
        <v>207</v>
      </c>
      <c r="E29" s="15" t="s">
        <v>71</v>
      </c>
      <c r="F29" s="15" t="s">
        <v>72</v>
      </c>
      <c r="G29" s="15" t="s">
        <v>73</v>
      </c>
      <c r="H29" s="15"/>
      <c r="I29" s="15"/>
      <c r="J29" s="63" t="s">
        <v>30</v>
      </c>
      <c r="K29" s="11">
        <v>1</v>
      </c>
      <c r="L29" s="11">
        <v>1</v>
      </c>
      <c r="M29" s="15" t="s">
        <v>208</v>
      </c>
      <c r="N29" s="63" t="s">
        <v>209</v>
      </c>
      <c r="O29" s="63" t="s">
        <v>33</v>
      </c>
      <c r="P29" s="63" t="s">
        <v>189</v>
      </c>
      <c r="Q29" s="63" t="s">
        <v>35</v>
      </c>
      <c r="R29" s="63" t="s">
        <v>68</v>
      </c>
      <c r="S29" s="12" t="s">
        <v>749</v>
      </c>
    </row>
    <row r="30" spans="1:19" ht="116" x14ac:dyDescent="0.35">
      <c r="A30" s="15" t="s">
        <v>182</v>
      </c>
      <c r="B30" s="15" t="s">
        <v>210</v>
      </c>
      <c r="C30" s="15" t="s">
        <v>211</v>
      </c>
      <c r="D30" s="15" t="s">
        <v>212</v>
      </c>
      <c r="E30" s="15" t="s">
        <v>86</v>
      </c>
      <c r="F30" s="15" t="s">
        <v>87</v>
      </c>
      <c r="G30" s="15" t="s">
        <v>213</v>
      </c>
      <c r="H30" s="15"/>
      <c r="I30" s="15"/>
      <c r="J30" s="63" t="s">
        <v>30</v>
      </c>
      <c r="K30" s="11">
        <v>1</v>
      </c>
      <c r="L30" s="11">
        <v>1</v>
      </c>
      <c r="M30" s="15" t="s">
        <v>187</v>
      </c>
      <c r="N30" s="63" t="s">
        <v>90</v>
      </c>
      <c r="O30" s="63" t="s">
        <v>33</v>
      </c>
      <c r="P30" s="63" t="s">
        <v>189</v>
      </c>
      <c r="Q30" s="63" t="s">
        <v>35</v>
      </c>
      <c r="R30" s="63" t="s">
        <v>83</v>
      </c>
      <c r="S30" s="12" t="s">
        <v>749</v>
      </c>
    </row>
    <row r="31" spans="1:19" ht="246.5" x14ac:dyDescent="0.35">
      <c r="A31" s="15" t="s">
        <v>182</v>
      </c>
      <c r="B31" s="15" t="s">
        <v>214</v>
      </c>
      <c r="C31" s="15" t="s">
        <v>211</v>
      </c>
      <c r="D31" s="15" t="s">
        <v>215</v>
      </c>
      <c r="E31" s="15" t="s">
        <v>216</v>
      </c>
      <c r="F31" s="59" t="s">
        <v>1106</v>
      </c>
      <c r="G31" s="59" t="s">
        <v>1107</v>
      </c>
      <c r="H31" s="59" t="s">
        <v>1108</v>
      </c>
      <c r="I31" s="15"/>
      <c r="J31" s="63" t="s">
        <v>30</v>
      </c>
      <c r="K31" s="11">
        <v>1</v>
      </c>
      <c r="L31" s="11">
        <v>1</v>
      </c>
      <c r="M31" s="15" t="s">
        <v>219</v>
      </c>
      <c r="N31" s="63" t="s">
        <v>106</v>
      </c>
      <c r="O31" s="63" t="s">
        <v>33</v>
      </c>
      <c r="P31" s="63" t="s">
        <v>189</v>
      </c>
      <c r="Q31" s="63" t="s">
        <v>35</v>
      </c>
      <c r="R31" s="63" t="s">
        <v>83</v>
      </c>
      <c r="S31" s="12" t="s">
        <v>749</v>
      </c>
    </row>
    <row r="32" spans="1:19" ht="72.5" x14ac:dyDescent="0.35">
      <c r="A32" s="15" t="s">
        <v>182</v>
      </c>
      <c r="B32" s="15" t="s">
        <v>220</v>
      </c>
      <c r="C32" s="15" t="s">
        <v>125</v>
      </c>
      <c r="D32" s="15" t="s">
        <v>221</v>
      </c>
      <c r="E32" s="15" t="s">
        <v>81</v>
      </c>
      <c r="F32" s="15" t="s">
        <v>127</v>
      </c>
      <c r="G32" s="15" t="s">
        <v>128</v>
      </c>
      <c r="H32" s="15" t="s">
        <v>129</v>
      </c>
      <c r="I32" s="15" t="s">
        <v>130</v>
      </c>
      <c r="J32" s="59" t="s">
        <v>120</v>
      </c>
      <c r="K32" s="11">
        <v>1</v>
      </c>
      <c r="L32" s="11">
        <v>1</v>
      </c>
      <c r="M32" s="15" t="s">
        <v>187</v>
      </c>
      <c r="N32" s="63"/>
      <c r="O32" s="63"/>
      <c r="P32" s="63"/>
      <c r="Q32" s="63"/>
      <c r="R32" s="63"/>
      <c r="S32" s="12" t="s">
        <v>749</v>
      </c>
    </row>
    <row r="33" spans="1:19" ht="58" hidden="1" x14ac:dyDescent="0.35">
      <c r="A33" s="15" t="s">
        <v>182</v>
      </c>
      <c r="B33" s="15" t="s">
        <v>222</v>
      </c>
      <c r="C33" s="15" t="s">
        <v>132</v>
      </c>
      <c r="D33" s="15" t="s">
        <v>132</v>
      </c>
      <c r="E33" s="15" t="s">
        <v>133</v>
      </c>
      <c r="F33" s="15" t="s">
        <v>223</v>
      </c>
      <c r="G33" s="15"/>
      <c r="H33" s="15"/>
      <c r="I33" s="15"/>
      <c r="J33" s="439" t="s">
        <v>81</v>
      </c>
      <c r="K33" s="439" t="s">
        <v>112</v>
      </c>
      <c r="L33" s="11">
        <v>0</v>
      </c>
      <c r="M33" s="15" t="s">
        <v>135</v>
      </c>
      <c r="N33" s="63" t="s">
        <v>135</v>
      </c>
      <c r="O33" s="63" t="s">
        <v>81</v>
      </c>
      <c r="P33" s="63" t="s">
        <v>136</v>
      </c>
      <c r="Q33" s="63" t="s">
        <v>60</v>
      </c>
      <c r="R33" s="63" t="s">
        <v>60</v>
      </c>
      <c r="S33" s="12" t="s">
        <v>749</v>
      </c>
    </row>
    <row r="34" spans="1:19" ht="109.5" customHeight="1" x14ac:dyDescent="0.35">
      <c r="A34" s="16" t="s">
        <v>224</v>
      </c>
      <c r="B34" s="16" t="s">
        <v>225</v>
      </c>
      <c r="C34" s="16" t="s">
        <v>226</v>
      </c>
      <c r="D34" s="16" t="s">
        <v>227</v>
      </c>
      <c r="E34" s="16" t="s">
        <v>1092</v>
      </c>
      <c r="F34" s="16" t="s">
        <v>1093</v>
      </c>
      <c r="G34" s="16" t="s">
        <v>228</v>
      </c>
      <c r="H34" s="16" t="s">
        <v>1094</v>
      </c>
      <c r="I34" s="59" t="s">
        <v>1095</v>
      </c>
      <c r="J34" s="72" t="s">
        <v>98</v>
      </c>
      <c r="K34" s="11">
        <v>1</v>
      </c>
      <c r="L34" s="11">
        <v>1</v>
      </c>
      <c r="M34" s="16" t="s">
        <v>31</v>
      </c>
      <c r="N34" s="64" t="s">
        <v>229</v>
      </c>
      <c r="O34" s="64" t="s">
        <v>33</v>
      </c>
      <c r="P34" s="64" t="s">
        <v>230</v>
      </c>
      <c r="Q34" s="64" t="s">
        <v>35</v>
      </c>
      <c r="R34" s="64" t="s">
        <v>60</v>
      </c>
      <c r="S34" s="12" t="s">
        <v>918</v>
      </c>
    </row>
    <row r="35" spans="1:19" ht="58" x14ac:dyDescent="0.35">
      <c r="A35" s="16" t="s">
        <v>224</v>
      </c>
      <c r="B35" s="16" t="s">
        <v>231</v>
      </c>
      <c r="C35" s="16" t="s">
        <v>226</v>
      </c>
      <c r="D35" s="16" t="s">
        <v>232</v>
      </c>
      <c r="E35" s="16" t="s">
        <v>233</v>
      </c>
      <c r="F35" s="16" t="s">
        <v>234</v>
      </c>
      <c r="G35" s="16" t="s">
        <v>235</v>
      </c>
      <c r="H35" s="16" t="s">
        <v>236</v>
      </c>
      <c r="I35" s="16"/>
      <c r="J35" s="64" t="s">
        <v>30</v>
      </c>
      <c r="K35" s="11">
        <v>1</v>
      </c>
      <c r="L35" s="11">
        <v>1</v>
      </c>
      <c r="M35" s="16" t="s">
        <v>31</v>
      </c>
      <c r="N35" s="64" t="s">
        <v>237</v>
      </c>
      <c r="O35" s="64" t="s">
        <v>33</v>
      </c>
      <c r="P35" s="64" t="s">
        <v>238</v>
      </c>
      <c r="Q35" s="64" t="s">
        <v>35</v>
      </c>
      <c r="R35" s="64" t="s">
        <v>83</v>
      </c>
      <c r="S35" s="12" t="s">
        <v>918</v>
      </c>
    </row>
    <row r="36" spans="1:19" ht="58" x14ac:dyDescent="0.35">
      <c r="A36" s="16" t="s">
        <v>224</v>
      </c>
      <c r="B36" s="16" t="s">
        <v>239</v>
      </c>
      <c r="C36" s="16" t="s">
        <v>226</v>
      </c>
      <c r="D36" s="16" t="s">
        <v>240</v>
      </c>
      <c r="E36" s="16" t="s">
        <v>25</v>
      </c>
      <c r="F36" s="16" t="s">
        <v>241</v>
      </c>
      <c r="G36" s="16" t="s">
        <v>242</v>
      </c>
      <c r="H36" s="16" t="s">
        <v>243</v>
      </c>
      <c r="I36" s="16" t="s">
        <v>244</v>
      </c>
      <c r="J36" s="64" t="s">
        <v>30</v>
      </c>
      <c r="K36" s="11">
        <v>1</v>
      </c>
      <c r="L36" s="11">
        <v>1</v>
      </c>
      <c r="M36" s="16" t="s">
        <v>245</v>
      </c>
      <c r="N36" s="64" t="s">
        <v>237</v>
      </c>
      <c r="O36" s="64" t="s">
        <v>33</v>
      </c>
      <c r="P36" s="64" t="s">
        <v>230</v>
      </c>
      <c r="Q36" s="64" t="s">
        <v>35</v>
      </c>
      <c r="R36" s="64" t="s">
        <v>83</v>
      </c>
      <c r="S36" s="12" t="s">
        <v>918</v>
      </c>
    </row>
    <row r="37" spans="1:19" ht="58" x14ac:dyDescent="0.35">
      <c r="A37" s="16" t="s">
        <v>224</v>
      </c>
      <c r="B37" s="16" t="s">
        <v>246</v>
      </c>
      <c r="C37" s="16" t="s">
        <v>247</v>
      </c>
      <c r="D37" s="16" t="s">
        <v>248</v>
      </c>
      <c r="E37" s="16" t="s">
        <v>249</v>
      </c>
      <c r="F37" s="16" t="s">
        <v>250</v>
      </c>
      <c r="G37" s="16" t="s">
        <v>251</v>
      </c>
      <c r="H37" s="16"/>
      <c r="I37" s="16"/>
      <c r="J37" s="64" t="s">
        <v>30</v>
      </c>
      <c r="K37" s="11">
        <v>1</v>
      </c>
      <c r="L37" s="11">
        <v>1</v>
      </c>
      <c r="M37" s="16" t="s">
        <v>252</v>
      </c>
      <c r="N37" s="64" t="s">
        <v>237</v>
      </c>
      <c r="O37" s="64" t="s">
        <v>33</v>
      </c>
      <c r="P37" s="64" t="s">
        <v>230</v>
      </c>
      <c r="Q37" s="64" t="s">
        <v>35</v>
      </c>
      <c r="R37" s="64" t="s">
        <v>60</v>
      </c>
      <c r="S37" s="12" t="s">
        <v>918</v>
      </c>
    </row>
    <row r="38" spans="1:19" ht="36" hidden="1" customHeight="1" x14ac:dyDescent="0.35">
      <c r="A38" s="16" t="s">
        <v>224</v>
      </c>
      <c r="B38" s="16" t="s">
        <v>253</v>
      </c>
      <c r="C38" s="16" t="s">
        <v>247</v>
      </c>
      <c r="D38" s="16" t="s">
        <v>254</v>
      </c>
      <c r="E38" s="16" t="s">
        <v>255</v>
      </c>
      <c r="F38" s="16" t="s">
        <v>256</v>
      </c>
      <c r="G38" s="16"/>
      <c r="H38" s="16"/>
      <c r="I38" s="16"/>
      <c r="J38" s="64" t="s">
        <v>30</v>
      </c>
      <c r="K38" s="11">
        <v>1</v>
      </c>
      <c r="L38" s="11">
        <v>0</v>
      </c>
      <c r="M38" s="16" t="s">
        <v>257</v>
      </c>
      <c r="N38" s="64" t="s">
        <v>237</v>
      </c>
      <c r="O38" s="64" t="s">
        <v>33</v>
      </c>
      <c r="P38" s="64" t="s">
        <v>230</v>
      </c>
      <c r="Q38" s="64" t="s">
        <v>35</v>
      </c>
      <c r="R38" s="64" t="s">
        <v>60</v>
      </c>
    </row>
    <row r="39" spans="1:19" ht="105.75" customHeight="1" x14ac:dyDescent="0.35">
      <c r="A39" s="16" t="s">
        <v>224</v>
      </c>
      <c r="B39" s="16" t="s">
        <v>258</v>
      </c>
      <c r="C39" s="16" t="s">
        <v>247</v>
      </c>
      <c r="D39" s="16" t="s">
        <v>259</v>
      </c>
      <c r="E39" s="16" t="s">
        <v>260</v>
      </c>
      <c r="F39" s="16" t="s">
        <v>261</v>
      </c>
      <c r="G39" s="16" t="s">
        <v>262</v>
      </c>
      <c r="H39" s="16"/>
      <c r="I39" s="16"/>
      <c r="J39" s="72" t="s">
        <v>98</v>
      </c>
      <c r="K39" s="11">
        <v>1</v>
      </c>
      <c r="L39" s="11">
        <v>1</v>
      </c>
      <c r="M39" s="16" t="s">
        <v>263</v>
      </c>
      <c r="N39" s="64" t="s">
        <v>237</v>
      </c>
      <c r="O39" s="64" t="s">
        <v>33</v>
      </c>
      <c r="P39" s="64" t="s">
        <v>230</v>
      </c>
      <c r="Q39" s="64" t="s">
        <v>35</v>
      </c>
      <c r="R39" s="64" t="s">
        <v>264</v>
      </c>
      <c r="S39" s="12" t="s">
        <v>918</v>
      </c>
    </row>
    <row r="40" spans="1:19" ht="58" x14ac:dyDescent="0.35">
      <c r="A40" s="16" t="s">
        <v>224</v>
      </c>
      <c r="B40" s="16" t="s">
        <v>265</v>
      </c>
      <c r="C40" s="16" t="s">
        <v>247</v>
      </c>
      <c r="D40" s="16" t="s">
        <v>266</v>
      </c>
      <c r="E40" s="16" t="s">
        <v>25</v>
      </c>
      <c r="F40" s="16" t="s">
        <v>267</v>
      </c>
      <c r="G40" s="16" t="s">
        <v>268</v>
      </c>
      <c r="H40" s="16" t="s">
        <v>269</v>
      </c>
      <c r="I40" s="16"/>
      <c r="J40" s="64" t="s">
        <v>30</v>
      </c>
      <c r="K40" s="11">
        <v>1</v>
      </c>
      <c r="L40" s="11">
        <v>1</v>
      </c>
      <c r="M40" s="16" t="s">
        <v>270</v>
      </c>
      <c r="N40" s="64" t="s">
        <v>237</v>
      </c>
      <c r="O40" s="64" t="s">
        <v>33</v>
      </c>
      <c r="P40" s="64" t="s">
        <v>230</v>
      </c>
      <c r="Q40" s="64" t="s">
        <v>35</v>
      </c>
      <c r="R40" s="64" t="s">
        <v>271</v>
      </c>
      <c r="S40" s="12" t="s">
        <v>918</v>
      </c>
    </row>
    <row r="41" spans="1:19" ht="58" x14ac:dyDescent="0.35">
      <c r="A41" s="16" t="s">
        <v>224</v>
      </c>
      <c r="B41" s="16" t="s">
        <v>272</v>
      </c>
      <c r="C41" s="16" t="s">
        <v>273</v>
      </c>
      <c r="D41" s="16" t="s">
        <v>274</v>
      </c>
      <c r="E41" s="16" t="s">
        <v>25</v>
      </c>
      <c r="F41" s="16" t="s">
        <v>275</v>
      </c>
      <c r="G41" s="16" t="s">
        <v>273</v>
      </c>
      <c r="H41" s="16" t="s">
        <v>276</v>
      </c>
      <c r="I41" s="16"/>
      <c r="J41" s="64" t="s">
        <v>30</v>
      </c>
      <c r="K41" s="11">
        <v>1</v>
      </c>
      <c r="L41" s="11">
        <v>1</v>
      </c>
      <c r="M41" s="16" t="s">
        <v>277</v>
      </c>
      <c r="N41" s="64" t="s">
        <v>237</v>
      </c>
      <c r="O41" s="64" t="s">
        <v>33</v>
      </c>
      <c r="P41" s="64" t="s">
        <v>230</v>
      </c>
      <c r="Q41" s="64" t="s">
        <v>35</v>
      </c>
      <c r="R41" s="64" t="s">
        <v>83</v>
      </c>
      <c r="S41" s="12" t="s">
        <v>918</v>
      </c>
    </row>
    <row r="42" spans="1:19" ht="36" hidden="1" customHeight="1" x14ac:dyDescent="0.35">
      <c r="A42" s="16" t="s">
        <v>224</v>
      </c>
      <c r="B42" s="16" t="s">
        <v>278</v>
      </c>
      <c r="C42" s="16" t="s">
        <v>279</v>
      </c>
      <c r="D42" s="16" t="s">
        <v>280</v>
      </c>
      <c r="E42" s="16" t="s">
        <v>281</v>
      </c>
      <c r="F42" s="16" t="s">
        <v>282</v>
      </c>
      <c r="G42" s="16"/>
      <c r="H42" s="16"/>
      <c r="I42" s="16"/>
      <c r="J42" s="64" t="s">
        <v>30</v>
      </c>
      <c r="K42" s="11">
        <v>1</v>
      </c>
      <c r="L42" s="11">
        <v>0</v>
      </c>
      <c r="M42" s="16" t="s">
        <v>283</v>
      </c>
      <c r="N42" s="64" t="s">
        <v>284</v>
      </c>
      <c r="O42" s="64"/>
      <c r="P42" s="64"/>
      <c r="Q42" s="64"/>
      <c r="R42" s="64"/>
    </row>
    <row r="43" spans="1:19" ht="36" hidden="1" customHeight="1" x14ac:dyDescent="0.35">
      <c r="A43" s="16" t="s">
        <v>224</v>
      </c>
      <c r="B43" s="16" t="s">
        <v>285</v>
      </c>
      <c r="C43" s="16" t="s">
        <v>279</v>
      </c>
      <c r="D43" s="16" t="s">
        <v>286</v>
      </c>
      <c r="E43" s="16" t="s">
        <v>25</v>
      </c>
      <c r="F43" s="16" t="s">
        <v>287</v>
      </c>
      <c r="G43" s="16" t="s">
        <v>288</v>
      </c>
      <c r="H43" s="16"/>
      <c r="I43" s="16"/>
      <c r="J43" s="64" t="s">
        <v>30</v>
      </c>
      <c r="K43" s="11">
        <v>1</v>
      </c>
      <c r="L43" s="11">
        <v>0</v>
      </c>
      <c r="M43" s="16" t="s">
        <v>283</v>
      </c>
      <c r="N43" s="64" t="s">
        <v>284</v>
      </c>
      <c r="O43" s="64"/>
      <c r="P43" s="64"/>
      <c r="Q43" s="64"/>
      <c r="R43" s="64"/>
    </row>
    <row r="44" spans="1:19" ht="138.75" customHeight="1" x14ac:dyDescent="0.35">
      <c r="A44" s="16" t="s">
        <v>224</v>
      </c>
      <c r="B44" s="16" t="s">
        <v>289</v>
      </c>
      <c r="C44" s="16" t="s">
        <v>290</v>
      </c>
      <c r="D44" s="16" t="s">
        <v>291</v>
      </c>
      <c r="E44" s="59" t="s">
        <v>81</v>
      </c>
      <c r="F44" s="59" t="s">
        <v>1096</v>
      </c>
      <c r="G44" s="59" t="s">
        <v>1097</v>
      </c>
      <c r="H44" s="59" t="s">
        <v>1098</v>
      </c>
      <c r="I44" s="59" t="s">
        <v>1099</v>
      </c>
      <c r="J44" s="64" t="s">
        <v>292</v>
      </c>
      <c r="K44" s="11" t="s">
        <v>112</v>
      </c>
      <c r="L44" s="11">
        <v>1</v>
      </c>
      <c r="M44" s="16" t="s">
        <v>31</v>
      </c>
      <c r="N44" s="64"/>
      <c r="O44" s="64"/>
      <c r="P44" s="64"/>
      <c r="Q44" s="64"/>
      <c r="R44" s="64"/>
      <c r="S44" s="12" t="s">
        <v>918</v>
      </c>
    </row>
    <row r="45" spans="1:19" ht="304.5" x14ac:dyDescent="0.35">
      <c r="A45" s="17" t="s">
        <v>293</v>
      </c>
      <c r="B45" s="17" t="s">
        <v>294</v>
      </c>
      <c r="C45" s="17" t="s">
        <v>295</v>
      </c>
      <c r="D45" s="17" t="s">
        <v>296</v>
      </c>
      <c r="E45" s="17" t="s">
        <v>297</v>
      </c>
      <c r="F45" s="17" t="s">
        <v>298</v>
      </c>
      <c r="G45" s="17" t="s">
        <v>299</v>
      </c>
      <c r="H45" s="17" t="s">
        <v>300</v>
      </c>
      <c r="I45" s="17"/>
      <c r="J45" s="58" t="s">
        <v>30</v>
      </c>
      <c r="K45" s="11">
        <v>1</v>
      </c>
      <c r="L45" s="11">
        <v>1</v>
      </c>
      <c r="M45" s="17" t="s">
        <v>31</v>
      </c>
      <c r="N45" s="58" t="s">
        <v>301</v>
      </c>
      <c r="O45" s="58" t="s">
        <v>33</v>
      </c>
      <c r="P45" s="58" t="s">
        <v>302</v>
      </c>
      <c r="Q45" s="58" t="s">
        <v>35</v>
      </c>
      <c r="R45" s="58" t="s">
        <v>34</v>
      </c>
      <c r="S45" s="12" t="s">
        <v>778</v>
      </c>
    </row>
    <row r="46" spans="1:19" ht="40.5" hidden="1" customHeight="1" x14ac:dyDescent="0.35">
      <c r="A46" s="17" t="s">
        <v>303</v>
      </c>
      <c r="B46" s="17" t="s">
        <v>304</v>
      </c>
      <c r="C46" s="17" t="s">
        <v>295</v>
      </c>
      <c r="D46" s="17" t="s">
        <v>305</v>
      </c>
      <c r="E46" s="17" t="s">
        <v>306</v>
      </c>
      <c r="F46" s="17" t="s">
        <v>307</v>
      </c>
      <c r="G46" s="17" t="s">
        <v>308</v>
      </c>
      <c r="H46" s="17"/>
      <c r="I46" s="17"/>
      <c r="J46" s="58"/>
      <c r="K46" s="11" t="s">
        <v>112</v>
      </c>
      <c r="L46" s="11">
        <v>0</v>
      </c>
      <c r="M46" s="17" t="s">
        <v>112</v>
      </c>
      <c r="N46" s="58"/>
      <c r="O46" s="58"/>
      <c r="P46" s="58"/>
      <c r="Q46" s="58"/>
      <c r="R46" s="58"/>
    </row>
    <row r="47" spans="1:19" ht="304.5" x14ac:dyDescent="0.35">
      <c r="A47" s="17" t="s">
        <v>293</v>
      </c>
      <c r="B47" s="17" t="s">
        <v>309</v>
      </c>
      <c r="C47" s="17" t="s">
        <v>310</v>
      </c>
      <c r="D47" s="17" t="s">
        <v>310</v>
      </c>
      <c r="E47" s="17" t="s">
        <v>311</v>
      </c>
      <c r="F47" s="17" t="s">
        <v>312</v>
      </c>
      <c r="G47" s="17" t="s">
        <v>313</v>
      </c>
      <c r="H47" s="17" t="s">
        <v>314</v>
      </c>
      <c r="I47" s="17" t="s">
        <v>315</v>
      </c>
      <c r="J47" s="72" t="s">
        <v>98</v>
      </c>
      <c r="K47" s="11">
        <v>1</v>
      </c>
      <c r="L47" s="11">
        <v>1</v>
      </c>
      <c r="M47" s="17" t="s">
        <v>31</v>
      </c>
      <c r="N47" s="58" t="s">
        <v>301</v>
      </c>
      <c r="O47" s="58" t="s">
        <v>33</v>
      </c>
      <c r="P47" s="58" t="s">
        <v>302</v>
      </c>
      <c r="Q47" s="58" t="s">
        <v>35</v>
      </c>
      <c r="R47" s="58" t="s">
        <v>34</v>
      </c>
      <c r="S47" s="12" t="s">
        <v>778</v>
      </c>
    </row>
    <row r="48" spans="1:19" ht="116" x14ac:dyDescent="0.35">
      <c r="A48" s="18" t="s">
        <v>316</v>
      </c>
      <c r="B48" s="18" t="s">
        <v>317</v>
      </c>
      <c r="C48" s="18" t="s">
        <v>318</v>
      </c>
      <c r="D48" s="18" t="s">
        <v>319</v>
      </c>
      <c r="E48" s="18" t="s">
        <v>320</v>
      </c>
      <c r="F48" s="18" t="s">
        <v>321</v>
      </c>
      <c r="G48" s="18" t="s">
        <v>322</v>
      </c>
      <c r="H48" s="18" t="s">
        <v>323</v>
      </c>
      <c r="I48" s="18" t="s">
        <v>324</v>
      </c>
      <c r="J48" s="65" t="s">
        <v>30</v>
      </c>
      <c r="K48" s="11">
        <v>1</v>
      </c>
      <c r="L48" s="11">
        <v>1</v>
      </c>
      <c r="M48" s="18" t="s">
        <v>325</v>
      </c>
      <c r="N48" s="65" t="s">
        <v>326</v>
      </c>
      <c r="O48" s="65" t="s">
        <v>33</v>
      </c>
      <c r="P48" s="65" t="s">
        <v>327</v>
      </c>
      <c r="Q48" s="65" t="s">
        <v>35</v>
      </c>
      <c r="R48" s="65" t="s">
        <v>136</v>
      </c>
      <c r="S48" s="12" t="s">
        <v>919</v>
      </c>
    </row>
    <row r="49" spans="1:20" ht="43.5" x14ac:dyDescent="0.35">
      <c r="A49" s="18" t="s">
        <v>316</v>
      </c>
      <c r="B49" s="18" t="s">
        <v>328</v>
      </c>
      <c r="C49" s="18" t="s">
        <v>318</v>
      </c>
      <c r="D49" s="18" t="s">
        <v>329</v>
      </c>
      <c r="E49" s="18" t="s">
        <v>330</v>
      </c>
      <c r="F49" s="18" t="s">
        <v>331</v>
      </c>
      <c r="G49" s="18" t="s">
        <v>332</v>
      </c>
      <c r="H49" s="18" t="s">
        <v>333</v>
      </c>
      <c r="I49" s="18"/>
      <c r="J49" s="65" t="s">
        <v>334</v>
      </c>
      <c r="K49" s="11" t="s">
        <v>112</v>
      </c>
      <c r="L49" s="11">
        <v>1</v>
      </c>
      <c r="M49" s="18"/>
      <c r="N49" s="65" t="s">
        <v>335</v>
      </c>
      <c r="O49" s="65" t="s">
        <v>336</v>
      </c>
      <c r="P49" s="65" t="s">
        <v>34</v>
      </c>
      <c r="Q49" s="65" t="s">
        <v>337</v>
      </c>
      <c r="R49" s="65" t="s">
        <v>34</v>
      </c>
      <c r="S49" s="12" t="s">
        <v>919</v>
      </c>
    </row>
    <row r="50" spans="1:20" ht="72.5" hidden="1" x14ac:dyDescent="0.35">
      <c r="A50" s="18" t="s">
        <v>316</v>
      </c>
      <c r="B50" s="18" t="s">
        <v>338</v>
      </c>
      <c r="C50" s="18" t="s">
        <v>318</v>
      </c>
      <c r="D50" s="18" t="s">
        <v>339</v>
      </c>
      <c r="E50" s="18" t="s">
        <v>340</v>
      </c>
      <c r="F50" s="18" t="s">
        <v>341</v>
      </c>
      <c r="G50" s="18" t="s">
        <v>342</v>
      </c>
      <c r="H50" s="18"/>
      <c r="I50" s="18"/>
      <c r="J50" s="65" t="s">
        <v>334</v>
      </c>
      <c r="K50" s="11">
        <v>0</v>
      </c>
      <c r="L50" s="11">
        <v>0</v>
      </c>
      <c r="M50" s="18" t="s">
        <v>343</v>
      </c>
      <c r="N50" s="65" t="s">
        <v>335</v>
      </c>
      <c r="O50" s="65" t="s">
        <v>336</v>
      </c>
      <c r="P50" s="65" t="s">
        <v>344</v>
      </c>
      <c r="Q50" s="65" t="s">
        <v>337</v>
      </c>
      <c r="R50" s="65" t="s">
        <v>83</v>
      </c>
    </row>
    <row r="51" spans="1:20" s="3" customFormat="1" ht="72.5" x14ac:dyDescent="0.35">
      <c r="A51" s="18" t="s">
        <v>316</v>
      </c>
      <c r="B51" s="59" t="s">
        <v>1085</v>
      </c>
      <c r="C51" s="59" t="s">
        <v>290</v>
      </c>
      <c r="D51" s="59" t="s">
        <v>1086</v>
      </c>
      <c r="E51" s="59" t="s">
        <v>1087</v>
      </c>
      <c r="F51" s="59" t="s">
        <v>1088</v>
      </c>
      <c r="G51" s="59" t="s">
        <v>1089</v>
      </c>
      <c r="H51" s="59" t="s">
        <v>1090</v>
      </c>
      <c r="I51" s="59" t="s">
        <v>1091</v>
      </c>
      <c r="J51" s="72" t="s">
        <v>334</v>
      </c>
      <c r="K51" s="11">
        <v>1</v>
      </c>
      <c r="L51" s="11">
        <v>1</v>
      </c>
      <c r="M51" s="18" t="s">
        <v>325</v>
      </c>
      <c r="N51" s="65"/>
      <c r="O51" s="65"/>
      <c r="P51" s="65"/>
      <c r="Q51" s="65"/>
      <c r="R51" s="65"/>
      <c r="S51" s="437" t="s">
        <v>919</v>
      </c>
      <c r="T51" s="12"/>
    </row>
    <row r="52" spans="1:20" ht="81" hidden="1" customHeight="1" x14ac:dyDescent="0.35">
      <c r="A52" s="19" t="s">
        <v>345</v>
      </c>
      <c r="B52" s="19" t="s">
        <v>346</v>
      </c>
      <c r="C52" s="19" t="s">
        <v>347</v>
      </c>
      <c r="D52" s="19" t="s">
        <v>348</v>
      </c>
      <c r="E52" s="19" t="s">
        <v>81</v>
      </c>
      <c r="F52" s="19" t="s">
        <v>349</v>
      </c>
      <c r="G52" s="19" t="s">
        <v>350</v>
      </c>
      <c r="H52" s="19"/>
      <c r="I52" s="19"/>
      <c r="J52" s="66" t="s">
        <v>334</v>
      </c>
      <c r="K52" s="11" t="s">
        <v>112</v>
      </c>
      <c r="L52" s="11">
        <v>0</v>
      </c>
      <c r="M52" s="19"/>
      <c r="N52" s="66"/>
      <c r="O52" s="66"/>
      <c r="P52" s="66"/>
      <c r="Q52" s="66"/>
      <c r="R52" s="66"/>
    </row>
    <row r="53" spans="1:20" ht="117" customHeight="1" x14ac:dyDescent="0.35">
      <c r="A53" s="19" t="s">
        <v>345</v>
      </c>
      <c r="B53" s="19" t="s">
        <v>351</v>
      </c>
      <c r="C53" s="19" t="s">
        <v>290</v>
      </c>
      <c r="D53" s="19" t="s">
        <v>352</v>
      </c>
      <c r="E53" s="19" t="s">
        <v>81</v>
      </c>
      <c r="F53" s="19" t="s">
        <v>353</v>
      </c>
      <c r="G53" s="19" t="s">
        <v>128</v>
      </c>
      <c r="H53" s="19" t="s">
        <v>129</v>
      </c>
      <c r="I53" s="19" t="s">
        <v>130</v>
      </c>
      <c r="J53" s="59" t="s">
        <v>120</v>
      </c>
      <c r="K53" s="11" t="s">
        <v>112</v>
      </c>
      <c r="L53" s="11">
        <v>1</v>
      </c>
      <c r="M53" s="19" t="s">
        <v>354</v>
      </c>
      <c r="N53" s="66"/>
      <c r="O53" s="66"/>
      <c r="P53" s="66"/>
      <c r="Q53" s="66"/>
      <c r="R53" s="66"/>
      <c r="S53" s="12" t="s">
        <v>922</v>
      </c>
    </row>
    <row r="54" spans="1:20" ht="43.5" x14ac:dyDescent="0.35">
      <c r="A54" s="19" t="s">
        <v>345</v>
      </c>
      <c r="B54" s="19" t="s">
        <v>355</v>
      </c>
      <c r="C54" s="19" t="s">
        <v>356</v>
      </c>
      <c r="D54" s="19" t="s">
        <v>357</v>
      </c>
      <c r="E54" s="19" t="s">
        <v>81</v>
      </c>
      <c r="F54" s="19" t="s">
        <v>358</v>
      </c>
      <c r="G54" s="19" t="s">
        <v>359</v>
      </c>
      <c r="H54" s="19" t="s">
        <v>360</v>
      </c>
      <c r="I54" s="19"/>
      <c r="J54" s="66" t="s">
        <v>334</v>
      </c>
      <c r="K54" s="11" t="s">
        <v>112</v>
      </c>
      <c r="L54" s="11">
        <v>1</v>
      </c>
      <c r="M54" s="19" t="s">
        <v>354</v>
      </c>
      <c r="N54" s="66"/>
      <c r="O54" s="66"/>
      <c r="P54" s="66"/>
      <c r="Q54" s="66"/>
      <c r="R54" s="66"/>
      <c r="S54" s="12" t="s">
        <v>922</v>
      </c>
    </row>
    <row r="55" spans="1:20" ht="111" customHeight="1" x14ac:dyDescent="0.35">
      <c r="A55" s="19" t="s">
        <v>345</v>
      </c>
      <c r="B55" s="19" t="s">
        <v>361</v>
      </c>
      <c r="C55" s="19" t="s">
        <v>362</v>
      </c>
      <c r="D55" s="19" t="s">
        <v>363</v>
      </c>
      <c r="E55" s="19" t="s">
        <v>81</v>
      </c>
      <c r="F55" s="19" t="s">
        <v>364</v>
      </c>
      <c r="G55" s="19" t="s">
        <v>365</v>
      </c>
      <c r="H55" s="19"/>
      <c r="I55" s="19"/>
      <c r="J55" s="66" t="s">
        <v>334</v>
      </c>
      <c r="K55" s="11" t="s">
        <v>112</v>
      </c>
      <c r="L55" s="11">
        <v>1</v>
      </c>
      <c r="M55" s="19" t="s">
        <v>354</v>
      </c>
      <c r="N55" s="66"/>
      <c r="O55" s="66"/>
      <c r="P55" s="66"/>
      <c r="Q55" s="66"/>
      <c r="R55" s="66"/>
      <c r="S55" s="12" t="s">
        <v>922</v>
      </c>
    </row>
    <row r="56" spans="1:20" ht="130.5" x14ac:dyDescent="0.35">
      <c r="A56" s="19" t="s">
        <v>345</v>
      </c>
      <c r="B56" s="19" t="s">
        <v>366</v>
      </c>
      <c r="C56" s="19" t="s">
        <v>347</v>
      </c>
      <c r="D56" s="19" t="s">
        <v>367</v>
      </c>
      <c r="E56" s="19" t="s">
        <v>368</v>
      </c>
      <c r="F56" s="19" t="s">
        <v>369</v>
      </c>
      <c r="G56" s="19"/>
      <c r="H56" s="19"/>
      <c r="I56" s="19"/>
      <c r="J56" s="19"/>
      <c r="K56" s="19" t="s">
        <v>112</v>
      </c>
      <c r="L56" s="11">
        <v>1</v>
      </c>
      <c r="M56" s="19" t="s">
        <v>370</v>
      </c>
      <c r="N56" s="19" t="s">
        <v>371</v>
      </c>
      <c r="O56" s="19" t="s">
        <v>33</v>
      </c>
      <c r="P56" s="19" t="s">
        <v>136</v>
      </c>
      <c r="Q56" s="19" t="s">
        <v>35</v>
      </c>
      <c r="R56" s="19" t="s">
        <v>136</v>
      </c>
      <c r="S56" s="12" t="s">
        <v>922</v>
      </c>
    </row>
    <row r="57" spans="1:20" ht="43.5" hidden="1" x14ac:dyDescent="0.35">
      <c r="A57" s="19" t="s">
        <v>345</v>
      </c>
      <c r="B57" s="19" t="s">
        <v>372</v>
      </c>
      <c r="C57" s="19" t="s">
        <v>373</v>
      </c>
      <c r="D57" s="19" t="s">
        <v>374</v>
      </c>
      <c r="E57" s="19" t="s">
        <v>81</v>
      </c>
      <c r="F57" s="19" t="s">
        <v>375</v>
      </c>
      <c r="G57" s="19" t="s">
        <v>376</v>
      </c>
      <c r="H57" s="19" t="s">
        <v>377</v>
      </c>
      <c r="I57" s="19" t="s">
        <v>378</v>
      </c>
      <c r="J57" s="19"/>
      <c r="K57" s="19" t="s">
        <v>112</v>
      </c>
      <c r="L57" s="11">
        <v>0</v>
      </c>
      <c r="M57" s="19"/>
      <c r="N57" s="19"/>
      <c r="O57" s="19"/>
      <c r="P57" s="19"/>
      <c r="Q57" s="19"/>
      <c r="R57" s="19"/>
    </row>
    <row r="58" spans="1:20" ht="43.5" hidden="1" x14ac:dyDescent="0.35">
      <c r="A58" s="19" t="s">
        <v>345</v>
      </c>
      <c r="B58" s="19" t="s">
        <v>379</v>
      </c>
      <c r="C58" s="19" t="s">
        <v>373</v>
      </c>
      <c r="D58" s="19" t="s">
        <v>380</v>
      </c>
      <c r="E58" s="19" t="s">
        <v>81</v>
      </c>
      <c r="F58" s="19" t="s">
        <v>375</v>
      </c>
      <c r="G58" s="19" t="s">
        <v>376</v>
      </c>
      <c r="H58" s="19" t="s">
        <v>377</v>
      </c>
      <c r="I58" s="19"/>
      <c r="J58" s="19"/>
      <c r="K58" s="19" t="s">
        <v>112</v>
      </c>
      <c r="L58" s="11">
        <v>0</v>
      </c>
      <c r="M58" s="19"/>
      <c r="N58" s="19"/>
      <c r="O58" s="19"/>
      <c r="P58" s="19"/>
      <c r="Q58" s="19"/>
      <c r="R58" s="19"/>
    </row>
    <row r="59" spans="1:20" ht="29" hidden="1" x14ac:dyDescent="0.35">
      <c r="A59" s="19" t="s">
        <v>345</v>
      </c>
      <c r="B59" s="19" t="s">
        <v>381</v>
      </c>
      <c r="C59" s="19" t="s">
        <v>373</v>
      </c>
      <c r="D59" s="19" t="s">
        <v>382</v>
      </c>
      <c r="E59" s="19" t="s">
        <v>81</v>
      </c>
      <c r="F59" s="19" t="s">
        <v>383</v>
      </c>
      <c r="G59" s="19" t="s">
        <v>384</v>
      </c>
      <c r="H59" s="19"/>
      <c r="I59" s="19"/>
      <c r="J59" s="19"/>
      <c r="K59" s="19" t="s">
        <v>112</v>
      </c>
      <c r="L59" s="11">
        <v>0</v>
      </c>
      <c r="M59" s="19"/>
      <c r="N59" s="19"/>
      <c r="O59" s="19"/>
      <c r="P59" s="19"/>
      <c r="Q59" s="19"/>
      <c r="R59" s="19"/>
    </row>
    <row r="60" spans="1:20" ht="29" hidden="1" x14ac:dyDescent="0.35">
      <c r="A60" s="19" t="s">
        <v>345</v>
      </c>
      <c r="B60" s="19" t="s">
        <v>385</v>
      </c>
      <c r="C60" s="19" t="s">
        <v>373</v>
      </c>
      <c r="D60" s="19" t="s">
        <v>386</v>
      </c>
      <c r="E60" s="19" t="s">
        <v>81</v>
      </c>
      <c r="F60" s="19" t="s">
        <v>375</v>
      </c>
      <c r="G60" s="19" t="s">
        <v>387</v>
      </c>
      <c r="H60" s="19" t="s">
        <v>388</v>
      </c>
      <c r="I60" s="19" t="s">
        <v>377</v>
      </c>
      <c r="J60" s="19"/>
      <c r="K60" s="19" t="s">
        <v>112</v>
      </c>
      <c r="L60" s="11">
        <v>0</v>
      </c>
      <c r="M60" s="19"/>
      <c r="N60" s="19"/>
      <c r="O60" s="19"/>
      <c r="P60" s="19"/>
      <c r="Q60" s="19"/>
      <c r="R60" s="19"/>
    </row>
    <row r="61" spans="1:20" ht="29" hidden="1" x14ac:dyDescent="0.35">
      <c r="A61" s="19" t="s">
        <v>345</v>
      </c>
      <c r="B61" s="19" t="s">
        <v>389</v>
      </c>
      <c r="C61" s="19" t="s">
        <v>390</v>
      </c>
      <c r="D61" s="19" t="s">
        <v>391</v>
      </c>
      <c r="E61" s="19" t="s">
        <v>81</v>
      </c>
      <c r="F61" s="19" t="s">
        <v>392</v>
      </c>
      <c r="G61" s="19" t="s">
        <v>393</v>
      </c>
      <c r="H61" s="19"/>
      <c r="I61" s="19"/>
      <c r="J61" s="19"/>
      <c r="K61" s="19" t="s">
        <v>112</v>
      </c>
      <c r="L61" s="11">
        <v>0</v>
      </c>
      <c r="M61" s="19"/>
      <c r="N61" s="19"/>
      <c r="O61" s="19"/>
      <c r="P61" s="19"/>
      <c r="Q61" s="19"/>
      <c r="R61" s="19"/>
    </row>
    <row r="62" spans="1:20" s="3" customFormat="1" ht="72.5" x14ac:dyDescent="0.35">
      <c r="A62" s="19" t="s">
        <v>345</v>
      </c>
      <c r="B62" s="59" t="s">
        <v>1102</v>
      </c>
      <c r="C62" s="59" t="s">
        <v>290</v>
      </c>
      <c r="D62" s="59" t="s">
        <v>1103</v>
      </c>
      <c r="E62" s="59" t="s">
        <v>81</v>
      </c>
      <c r="F62" s="59" t="s">
        <v>1101</v>
      </c>
      <c r="G62" s="59" t="s">
        <v>128</v>
      </c>
      <c r="H62" s="59" t="s">
        <v>129</v>
      </c>
      <c r="I62" s="438" t="s">
        <v>130</v>
      </c>
      <c r="J62" s="59"/>
      <c r="K62" s="19" t="s">
        <v>112</v>
      </c>
      <c r="L62" s="11">
        <v>1</v>
      </c>
      <c r="M62" s="19" t="s">
        <v>1105</v>
      </c>
      <c r="N62" s="19"/>
      <c r="O62" s="19"/>
      <c r="P62" s="19"/>
      <c r="Q62" s="19"/>
      <c r="R62" s="19"/>
      <c r="S62" s="12" t="s">
        <v>922</v>
      </c>
      <c r="T62" s="12"/>
    </row>
    <row r="63" spans="1:20" ht="43.5" hidden="1" x14ac:dyDescent="0.35">
      <c r="A63" s="21" t="s">
        <v>394</v>
      </c>
      <c r="B63" s="21" t="s">
        <v>395</v>
      </c>
      <c r="C63" s="21" t="s">
        <v>396</v>
      </c>
      <c r="D63" s="21" t="s">
        <v>397</v>
      </c>
      <c r="E63" s="21" t="s">
        <v>81</v>
      </c>
      <c r="F63" s="21" t="s">
        <v>398</v>
      </c>
      <c r="G63" s="21" t="s">
        <v>399</v>
      </c>
      <c r="H63" s="21" t="s">
        <v>400</v>
      </c>
      <c r="I63" s="21"/>
      <c r="J63" s="68"/>
      <c r="K63" s="11">
        <v>0</v>
      </c>
      <c r="L63" s="11">
        <v>0</v>
      </c>
      <c r="M63" s="21"/>
      <c r="N63" s="21"/>
      <c r="O63" s="21"/>
      <c r="P63" s="21"/>
      <c r="Q63" s="21"/>
      <c r="R63" s="21"/>
    </row>
    <row r="64" spans="1:20" ht="43.5" hidden="1" x14ac:dyDescent="0.35">
      <c r="A64" s="21" t="s">
        <v>394</v>
      </c>
      <c r="B64" s="21" t="s">
        <v>401</v>
      </c>
      <c r="C64" s="21" t="s">
        <v>402</v>
      </c>
      <c r="D64" s="21" t="s">
        <v>403</v>
      </c>
      <c r="E64" s="21" t="s">
        <v>81</v>
      </c>
      <c r="F64" s="21" t="s">
        <v>404</v>
      </c>
      <c r="G64" s="21" t="s">
        <v>405</v>
      </c>
      <c r="H64" s="21"/>
      <c r="I64" s="21"/>
      <c r="J64" s="68"/>
      <c r="K64" s="11">
        <v>0</v>
      </c>
      <c r="L64" s="11">
        <v>0</v>
      </c>
      <c r="M64" s="21"/>
      <c r="N64" s="21"/>
      <c r="O64" s="21"/>
      <c r="P64" s="21"/>
      <c r="Q64" s="21"/>
      <c r="R64" s="21"/>
    </row>
    <row r="65" spans="1:19" ht="43.5" hidden="1" x14ac:dyDescent="0.35">
      <c r="A65" s="21" t="s">
        <v>394</v>
      </c>
      <c r="B65" s="21" t="s">
        <v>406</v>
      </c>
      <c r="C65" s="21" t="s">
        <v>402</v>
      </c>
      <c r="D65" s="21" t="s">
        <v>407</v>
      </c>
      <c r="E65" s="21" t="s">
        <v>81</v>
      </c>
      <c r="F65" s="21" t="s">
        <v>408</v>
      </c>
      <c r="G65" s="21" t="s">
        <v>409</v>
      </c>
      <c r="H65" s="21"/>
      <c r="I65" s="21"/>
      <c r="J65" s="68"/>
      <c r="K65" s="11">
        <v>0</v>
      </c>
      <c r="L65" s="11">
        <v>0</v>
      </c>
      <c r="M65" s="21"/>
      <c r="N65" s="21"/>
      <c r="O65" s="21"/>
      <c r="P65" s="21"/>
      <c r="Q65" s="21"/>
      <c r="R65" s="21"/>
    </row>
    <row r="66" spans="1:19" ht="43.5" hidden="1" x14ac:dyDescent="0.35">
      <c r="A66" s="21" t="s">
        <v>394</v>
      </c>
      <c r="B66" s="21" t="s">
        <v>410</v>
      </c>
      <c r="C66" s="21" t="s">
        <v>402</v>
      </c>
      <c r="D66" s="21" t="s">
        <v>411</v>
      </c>
      <c r="E66" s="21" t="s">
        <v>81</v>
      </c>
      <c r="F66" s="21" t="s">
        <v>408</v>
      </c>
      <c r="G66" s="21" t="s">
        <v>409</v>
      </c>
      <c r="H66" s="21"/>
      <c r="I66" s="21"/>
      <c r="J66" s="68"/>
      <c r="K66" s="11">
        <v>0</v>
      </c>
      <c r="L66" s="11">
        <v>0</v>
      </c>
      <c r="M66" s="21"/>
      <c r="N66" s="21"/>
      <c r="O66" s="21"/>
      <c r="P66" s="21"/>
      <c r="Q66" s="21"/>
      <c r="R66" s="21"/>
    </row>
    <row r="67" spans="1:19" ht="29" hidden="1" x14ac:dyDescent="0.35">
      <c r="A67" s="21" t="s">
        <v>394</v>
      </c>
      <c r="B67" s="21" t="s">
        <v>412</v>
      </c>
      <c r="C67" s="21" t="s">
        <v>396</v>
      </c>
      <c r="D67" s="21" t="s">
        <v>413</v>
      </c>
      <c r="E67" s="21" t="s">
        <v>81</v>
      </c>
      <c r="F67" s="21" t="s">
        <v>414</v>
      </c>
      <c r="G67" s="21" t="s">
        <v>415</v>
      </c>
      <c r="H67" s="21"/>
      <c r="I67" s="21"/>
      <c r="J67" s="68"/>
      <c r="K67" s="11">
        <v>0</v>
      </c>
      <c r="L67" s="11">
        <v>0</v>
      </c>
      <c r="M67" s="21"/>
      <c r="N67" s="21"/>
      <c r="O67" s="21"/>
      <c r="P67" s="21"/>
      <c r="Q67" s="21"/>
      <c r="R67" s="21"/>
    </row>
    <row r="68" spans="1:19" ht="29" hidden="1" x14ac:dyDescent="0.35">
      <c r="A68" s="21" t="s">
        <v>394</v>
      </c>
      <c r="B68" s="21" t="s">
        <v>416</v>
      </c>
      <c r="C68" s="21" t="s">
        <v>417</v>
      </c>
      <c r="D68" s="21" t="s">
        <v>418</v>
      </c>
      <c r="E68" s="21" t="s">
        <v>81</v>
      </c>
      <c r="F68" s="21" t="s">
        <v>419</v>
      </c>
      <c r="G68" s="21" t="s">
        <v>420</v>
      </c>
      <c r="H68" s="21"/>
      <c r="I68" s="21"/>
      <c r="J68" s="68"/>
      <c r="K68" s="11">
        <v>0</v>
      </c>
      <c r="L68" s="11">
        <v>0</v>
      </c>
      <c r="M68" s="21"/>
      <c r="N68" s="21"/>
      <c r="O68" s="21"/>
      <c r="P68" s="21"/>
      <c r="Q68" s="21"/>
      <c r="R68" s="21"/>
    </row>
    <row r="69" spans="1:19" ht="29" hidden="1" x14ac:dyDescent="0.35">
      <c r="A69" s="21" t="s">
        <v>394</v>
      </c>
      <c r="B69" s="21" t="s">
        <v>421</v>
      </c>
      <c r="C69" s="21" t="s">
        <v>396</v>
      </c>
      <c r="D69" s="21" t="s">
        <v>422</v>
      </c>
      <c r="E69" s="21" t="s">
        <v>81</v>
      </c>
      <c r="F69" s="21" t="s">
        <v>423</v>
      </c>
      <c r="G69" s="21" t="s">
        <v>424</v>
      </c>
      <c r="H69" s="21"/>
      <c r="I69" s="21"/>
      <c r="J69" s="68"/>
      <c r="K69" s="11">
        <v>0</v>
      </c>
      <c r="L69" s="11">
        <v>0</v>
      </c>
      <c r="M69" s="21"/>
      <c r="N69" s="21"/>
      <c r="O69" s="21"/>
      <c r="P69" s="21"/>
      <c r="Q69" s="21"/>
      <c r="R69" s="21"/>
    </row>
    <row r="70" spans="1:19" ht="29" hidden="1" x14ac:dyDescent="0.35">
      <c r="A70" s="21" t="s">
        <v>394</v>
      </c>
      <c r="B70" s="21" t="s">
        <v>425</v>
      </c>
      <c r="C70" s="21" t="s">
        <v>417</v>
      </c>
      <c r="D70" s="21" t="s">
        <v>426</v>
      </c>
      <c r="E70" s="21" t="s">
        <v>81</v>
      </c>
      <c r="F70" s="21" t="s">
        <v>427</v>
      </c>
      <c r="G70" s="21" t="s">
        <v>428</v>
      </c>
      <c r="H70" s="21" t="s">
        <v>429</v>
      </c>
      <c r="I70" s="21"/>
      <c r="J70" s="68"/>
      <c r="K70" s="11">
        <v>0</v>
      </c>
      <c r="L70" s="11">
        <v>0</v>
      </c>
      <c r="M70" s="21"/>
      <c r="N70" s="21"/>
      <c r="O70" s="21"/>
      <c r="P70" s="21"/>
      <c r="Q70" s="21"/>
      <c r="R70" s="21"/>
    </row>
    <row r="71" spans="1:19" ht="29" hidden="1" x14ac:dyDescent="0.35">
      <c r="A71" s="21" t="s">
        <v>394</v>
      </c>
      <c r="B71" s="21" t="s">
        <v>430</v>
      </c>
      <c r="C71" s="21" t="s">
        <v>402</v>
      </c>
      <c r="D71" s="21" t="s">
        <v>431</v>
      </c>
      <c r="E71" s="21" t="s">
        <v>81</v>
      </c>
      <c r="F71" s="21" t="s">
        <v>432</v>
      </c>
      <c r="G71" s="21" t="s">
        <v>433</v>
      </c>
      <c r="H71" s="21"/>
      <c r="I71" s="21"/>
      <c r="J71" s="68"/>
      <c r="K71" s="11">
        <v>0</v>
      </c>
      <c r="L71" s="11">
        <v>0</v>
      </c>
      <c r="M71" s="21"/>
      <c r="N71" s="21"/>
      <c r="O71" s="21"/>
      <c r="P71" s="21"/>
      <c r="Q71" s="21"/>
      <c r="R71" s="21"/>
    </row>
    <row r="72" spans="1:19" ht="29" hidden="1" x14ac:dyDescent="0.35">
      <c r="A72" s="21" t="s">
        <v>394</v>
      </c>
      <c r="B72" s="21" t="s">
        <v>434</v>
      </c>
      <c r="C72" s="21" t="s">
        <v>435</v>
      </c>
      <c r="D72" s="21" t="s">
        <v>436</v>
      </c>
      <c r="E72" s="21" t="s">
        <v>81</v>
      </c>
      <c r="F72" s="21" t="s">
        <v>437</v>
      </c>
      <c r="G72" s="21" t="s">
        <v>438</v>
      </c>
      <c r="H72" s="21"/>
      <c r="I72" s="21"/>
      <c r="J72" s="68"/>
      <c r="K72" s="11">
        <v>0</v>
      </c>
      <c r="L72" s="11">
        <v>0</v>
      </c>
      <c r="M72" s="21"/>
      <c r="N72" s="21"/>
      <c r="O72" s="21"/>
      <c r="P72" s="21"/>
      <c r="Q72" s="21"/>
      <c r="R72" s="21"/>
    </row>
    <row r="73" spans="1:19" hidden="1" x14ac:dyDescent="0.35">
      <c r="A73" s="21" t="s">
        <v>394</v>
      </c>
      <c r="B73" s="21" t="s">
        <v>439</v>
      </c>
      <c r="C73" s="21" t="s">
        <v>417</v>
      </c>
      <c r="D73" s="21" t="s">
        <v>440</v>
      </c>
      <c r="E73" s="21" t="s">
        <v>81</v>
      </c>
      <c r="F73" s="21" t="s">
        <v>441</v>
      </c>
      <c r="G73" s="21"/>
      <c r="H73" s="21"/>
      <c r="I73" s="21"/>
      <c r="J73" s="68"/>
      <c r="K73" s="11">
        <v>0</v>
      </c>
      <c r="L73" s="11">
        <v>0</v>
      </c>
      <c r="M73" s="21"/>
      <c r="N73" s="21"/>
      <c r="O73" s="21"/>
      <c r="P73" s="21"/>
      <c r="Q73" s="21"/>
      <c r="R73" s="21"/>
    </row>
    <row r="74" spans="1:19" ht="29" hidden="1" x14ac:dyDescent="0.35">
      <c r="A74" s="21" t="s">
        <v>394</v>
      </c>
      <c r="B74" s="21" t="s">
        <v>442</v>
      </c>
      <c r="C74" s="21" t="s">
        <v>417</v>
      </c>
      <c r="D74" s="21" t="s">
        <v>443</v>
      </c>
      <c r="E74" s="21" t="s">
        <v>81</v>
      </c>
      <c r="F74" s="21" t="s">
        <v>444</v>
      </c>
      <c r="G74" s="21"/>
      <c r="H74" s="21"/>
      <c r="I74" s="21"/>
      <c r="J74" s="68"/>
      <c r="K74" s="11">
        <v>0</v>
      </c>
      <c r="L74" s="11">
        <v>0</v>
      </c>
      <c r="M74" s="21"/>
      <c r="N74" s="21"/>
      <c r="O74" s="21"/>
      <c r="P74" s="21"/>
      <c r="Q74" s="21"/>
      <c r="R74" s="21"/>
    </row>
    <row r="75" spans="1:19" ht="87" x14ac:dyDescent="0.35">
      <c r="A75" s="21" t="s">
        <v>394</v>
      </c>
      <c r="B75" s="21" t="s">
        <v>445</v>
      </c>
      <c r="C75" s="21" t="s">
        <v>446</v>
      </c>
      <c r="D75" s="21" t="s">
        <v>447</v>
      </c>
      <c r="E75" s="436" t="s">
        <v>1080</v>
      </c>
      <c r="F75" s="436" t="s">
        <v>1081</v>
      </c>
      <c r="G75" s="436" t="s">
        <v>1082</v>
      </c>
      <c r="H75" s="436" t="s">
        <v>1083</v>
      </c>
      <c r="I75" s="436" t="s">
        <v>1084</v>
      </c>
      <c r="J75" s="59" t="s">
        <v>120</v>
      </c>
      <c r="K75" s="11" t="s">
        <v>112</v>
      </c>
      <c r="L75" s="11">
        <v>1</v>
      </c>
      <c r="M75" s="68" t="s">
        <v>451</v>
      </c>
      <c r="N75" s="68" t="s">
        <v>452</v>
      </c>
      <c r="O75" s="68" t="s">
        <v>81</v>
      </c>
      <c r="P75" s="68" t="s">
        <v>34</v>
      </c>
      <c r="Q75" s="68" t="s">
        <v>34</v>
      </c>
      <c r="R75" s="68" t="s">
        <v>34</v>
      </c>
      <c r="S75" s="12" t="s">
        <v>898</v>
      </c>
    </row>
    <row r="76" spans="1:19" ht="68.25" customHeight="1" x14ac:dyDescent="0.35">
      <c r="A76" s="21" t="s">
        <v>394</v>
      </c>
      <c r="B76" s="21" t="s">
        <v>453</v>
      </c>
      <c r="C76" s="21" t="s">
        <v>417</v>
      </c>
      <c r="D76" s="21" t="s">
        <v>454</v>
      </c>
      <c r="E76" s="21" t="s">
        <v>133</v>
      </c>
      <c r="F76" s="21" t="s">
        <v>455</v>
      </c>
      <c r="G76" s="21" t="s">
        <v>456</v>
      </c>
      <c r="H76" s="21"/>
      <c r="I76" s="21"/>
      <c r="J76" s="59" t="s">
        <v>120</v>
      </c>
      <c r="K76" s="11" t="s">
        <v>112</v>
      </c>
      <c r="L76" s="11">
        <v>1</v>
      </c>
      <c r="M76" s="68" t="s">
        <v>457</v>
      </c>
      <c r="N76" s="68" t="s">
        <v>458</v>
      </c>
      <c r="O76" s="68" t="s">
        <v>81</v>
      </c>
      <c r="P76" s="68" t="s">
        <v>34</v>
      </c>
      <c r="Q76" s="68" t="s">
        <v>136</v>
      </c>
      <c r="R76" s="68" t="s">
        <v>60</v>
      </c>
      <c r="S76" s="12" t="s">
        <v>898</v>
      </c>
    </row>
    <row r="77" spans="1:19" ht="45" customHeight="1" x14ac:dyDescent="0.35">
      <c r="A77" s="21" t="s">
        <v>394</v>
      </c>
      <c r="B77" s="21" t="s">
        <v>459</v>
      </c>
      <c r="C77" s="21" t="s">
        <v>460</v>
      </c>
      <c r="D77" s="21" t="s">
        <v>461</v>
      </c>
      <c r="E77" s="21" t="s">
        <v>462</v>
      </c>
      <c r="F77" s="21" t="s">
        <v>463</v>
      </c>
      <c r="G77" s="21" t="s">
        <v>464</v>
      </c>
      <c r="H77" s="21"/>
      <c r="I77" s="21"/>
      <c r="J77" s="68"/>
      <c r="K77" s="11">
        <v>0</v>
      </c>
      <c r="L77" s="11">
        <v>1</v>
      </c>
      <c r="M77" s="68" t="s">
        <v>457</v>
      </c>
      <c r="N77" s="21"/>
      <c r="O77" s="21"/>
      <c r="P77" s="21"/>
      <c r="Q77" s="21"/>
      <c r="R77" s="21"/>
      <c r="S77" s="12" t="s">
        <v>898</v>
      </c>
    </row>
    <row r="78" spans="1:19" ht="116" hidden="1" x14ac:dyDescent="0.35">
      <c r="A78" s="22" t="s">
        <v>465</v>
      </c>
      <c r="B78" s="22" t="s">
        <v>466</v>
      </c>
      <c r="C78" s="22" t="s">
        <v>467</v>
      </c>
      <c r="D78" s="22" t="s">
        <v>468</v>
      </c>
      <c r="E78" s="22" t="s">
        <v>469</v>
      </c>
      <c r="F78" s="22" t="s">
        <v>470</v>
      </c>
      <c r="G78" s="22" t="s">
        <v>471</v>
      </c>
      <c r="H78" s="22" t="s">
        <v>472</v>
      </c>
      <c r="I78" s="22"/>
      <c r="J78" s="69" t="s">
        <v>30</v>
      </c>
      <c r="K78" s="11">
        <v>1</v>
      </c>
      <c r="L78" s="11">
        <v>0</v>
      </c>
      <c r="M78" s="22"/>
      <c r="N78" s="69" t="s">
        <v>473</v>
      </c>
      <c r="O78" s="69" t="s">
        <v>33</v>
      </c>
      <c r="P78" s="69" t="s">
        <v>136</v>
      </c>
      <c r="Q78" s="69" t="s">
        <v>35</v>
      </c>
      <c r="R78" s="69" t="s">
        <v>60</v>
      </c>
    </row>
    <row r="79" spans="1:19" ht="119.15" hidden="1" customHeight="1" x14ac:dyDescent="0.35">
      <c r="A79" s="22" t="s">
        <v>465</v>
      </c>
      <c r="B79" s="22" t="s">
        <v>474</v>
      </c>
      <c r="C79" s="22" t="s">
        <v>467</v>
      </c>
      <c r="D79" s="22" t="s">
        <v>475</v>
      </c>
      <c r="E79" s="22" t="s">
        <v>81</v>
      </c>
      <c r="F79" s="22" t="s">
        <v>476</v>
      </c>
      <c r="G79" s="22" t="s">
        <v>477</v>
      </c>
      <c r="H79" s="22"/>
      <c r="I79" s="22"/>
      <c r="J79" s="69"/>
      <c r="K79" s="11" t="s">
        <v>112</v>
      </c>
      <c r="L79" s="11">
        <v>0</v>
      </c>
      <c r="M79" s="22"/>
      <c r="N79" s="69" t="s">
        <v>478</v>
      </c>
      <c r="O79" s="69" t="s">
        <v>81</v>
      </c>
      <c r="P79" s="69" t="s">
        <v>60</v>
      </c>
      <c r="Q79" s="69" t="s">
        <v>479</v>
      </c>
      <c r="R79" s="69" t="s">
        <v>83</v>
      </c>
    </row>
    <row r="80" spans="1:19" ht="145" x14ac:dyDescent="0.35">
      <c r="A80" s="22" t="s">
        <v>465</v>
      </c>
      <c r="B80" s="22" t="s">
        <v>480</v>
      </c>
      <c r="C80" s="22" t="s">
        <v>467</v>
      </c>
      <c r="D80" s="22" t="s">
        <v>481</v>
      </c>
      <c r="E80" s="22" t="s">
        <v>482</v>
      </c>
      <c r="F80" s="22" t="s">
        <v>483</v>
      </c>
      <c r="G80" s="22" t="s">
        <v>484</v>
      </c>
      <c r="H80" s="22" t="s">
        <v>485</v>
      </c>
      <c r="I80" s="22"/>
      <c r="J80" s="72" t="s">
        <v>486</v>
      </c>
      <c r="K80" s="11" t="s">
        <v>112</v>
      </c>
      <c r="L80" s="11">
        <v>1</v>
      </c>
      <c r="M80" s="22"/>
      <c r="N80" s="69" t="s">
        <v>487</v>
      </c>
      <c r="O80" s="69" t="s">
        <v>33</v>
      </c>
      <c r="P80" s="69" t="s">
        <v>60</v>
      </c>
      <c r="Q80" s="69" t="s">
        <v>35</v>
      </c>
      <c r="R80" s="69" t="s">
        <v>60</v>
      </c>
      <c r="S80" s="12" t="s">
        <v>920</v>
      </c>
    </row>
    <row r="81" spans="1:19" ht="28.75" customHeight="1" x14ac:dyDescent="0.35">
      <c r="A81" s="22" t="s">
        <v>465</v>
      </c>
      <c r="B81" s="22" t="s">
        <v>488</v>
      </c>
      <c r="C81" s="22" t="s">
        <v>489</v>
      </c>
      <c r="D81" s="22" t="s">
        <v>490</v>
      </c>
      <c r="E81" s="22" t="s">
        <v>491</v>
      </c>
      <c r="F81" s="22" t="s">
        <v>492</v>
      </c>
      <c r="G81" s="22" t="s">
        <v>493</v>
      </c>
      <c r="H81" s="22"/>
      <c r="I81" s="22"/>
      <c r="J81" s="69" t="s">
        <v>30</v>
      </c>
      <c r="K81" s="11">
        <v>1</v>
      </c>
      <c r="L81" s="11">
        <v>1</v>
      </c>
      <c r="M81" s="22"/>
      <c r="N81" s="69" t="s">
        <v>494</v>
      </c>
      <c r="O81" s="69" t="s">
        <v>33</v>
      </c>
      <c r="P81" s="69" t="s">
        <v>60</v>
      </c>
      <c r="Q81" s="69" t="s">
        <v>35</v>
      </c>
      <c r="R81" s="69" t="s">
        <v>34</v>
      </c>
      <c r="S81" s="12" t="s">
        <v>920</v>
      </c>
    </row>
    <row r="82" spans="1:19" ht="72.5" hidden="1" x14ac:dyDescent="0.35">
      <c r="A82" s="22" t="s">
        <v>465</v>
      </c>
      <c r="B82" s="22" t="s">
        <v>495</v>
      </c>
      <c r="C82" s="22" t="s">
        <v>496</v>
      </c>
      <c r="D82" s="22" t="s">
        <v>497</v>
      </c>
      <c r="E82" s="22" t="s">
        <v>81</v>
      </c>
      <c r="F82" s="22" t="s">
        <v>498</v>
      </c>
      <c r="G82" s="22" t="s">
        <v>499</v>
      </c>
      <c r="H82" s="22" t="s">
        <v>500</v>
      </c>
      <c r="I82" s="22"/>
      <c r="J82" s="69" t="s">
        <v>334</v>
      </c>
      <c r="K82" s="11" t="s">
        <v>112</v>
      </c>
      <c r="L82" s="11">
        <v>0</v>
      </c>
      <c r="M82" s="22"/>
      <c r="N82" s="69" t="s">
        <v>501</v>
      </c>
      <c r="O82" s="69" t="s">
        <v>33</v>
      </c>
      <c r="P82" s="69" t="s">
        <v>60</v>
      </c>
      <c r="Q82" s="69" t="s">
        <v>35</v>
      </c>
      <c r="R82" s="69" t="s">
        <v>34</v>
      </c>
    </row>
    <row r="83" spans="1:19" ht="29" hidden="1" x14ac:dyDescent="0.35">
      <c r="A83" s="22" t="s">
        <v>465</v>
      </c>
      <c r="B83" s="22" t="s">
        <v>502</v>
      </c>
      <c r="C83" s="22" t="s">
        <v>290</v>
      </c>
      <c r="D83" s="22" t="s">
        <v>503</v>
      </c>
      <c r="E83" s="22" t="s">
        <v>81</v>
      </c>
      <c r="F83" s="22" t="s">
        <v>498</v>
      </c>
      <c r="G83" s="22" t="s">
        <v>499</v>
      </c>
      <c r="H83" s="22" t="s">
        <v>500</v>
      </c>
      <c r="I83" s="22"/>
      <c r="J83" s="69" t="s">
        <v>334</v>
      </c>
      <c r="K83" s="11" t="s">
        <v>112</v>
      </c>
      <c r="L83" s="11">
        <v>0</v>
      </c>
      <c r="M83" s="22"/>
      <c r="N83" s="69" t="s">
        <v>478</v>
      </c>
      <c r="O83" s="69" t="s">
        <v>81</v>
      </c>
      <c r="P83" s="69" t="s">
        <v>60</v>
      </c>
      <c r="Q83" s="69" t="s">
        <v>83</v>
      </c>
      <c r="R83" s="69" t="s">
        <v>34</v>
      </c>
    </row>
    <row r="84" spans="1:19" ht="29" hidden="1" x14ac:dyDescent="0.35">
      <c r="A84" s="22" t="s">
        <v>465</v>
      </c>
      <c r="B84" s="22" t="s">
        <v>504</v>
      </c>
      <c r="C84" s="22" t="s">
        <v>290</v>
      </c>
      <c r="D84" s="22" t="s">
        <v>505</v>
      </c>
      <c r="E84" s="22" t="s">
        <v>81</v>
      </c>
      <c r="F84" s="22" t="s">
        <v>498</v>
      </c>
      <c r="G84" s="22" t="s">
        <v>499</v>
      </c>
      <c r="H84" s="22" t="s">
        <v>500</v>
      </c>
      <c r="I84" s="22"/>
      <c r="J84" s="69" t="s">
        <v>334</v>
      </c>
      <c r="K84" s="11" t="s">
        <v>112</v>
      </c>
      <c r="L84" s="11">
        <v>0</v>
      </c>
      <c r="M84" s="22"/>
      <c r="N84" s="69" t="s">
        <v>478</v>
      </c>
      <c r="O84" s="69" t="s">
        <v>81</v>
      </c>
      <c r="P84" s="69" t="s">
        <v>60</v>
      </c>
      <c r="Q84" s="69" t="s">
        <v>83</v>
      </c>
      <c r="R84" s="69" t="s">
        <v>34</v>
      </c>
    </row>
    <row r="85" spans="1:19" ht="28.75" customHeight="1" x14ac:dyDescent="0.35">
      <c r="A85" s="22" t="s">
        <v>465</v>
      </c>
      <c r="B85" s="22" t="s">
        <v>506</v>
      </c>
      <c r="C85" s="22" t="s">
        <v>507</v>
      </c>
      <c r="D85" s="22" t="s">
        <v>508</v>
      </c>
      <c r="E85" s="22" t="s">
        <v>81</v>
      </c>
      <c r="F85" s="22" t="s">
        <v>509</v>
      </c>
      <c r="G85" s="22" t="s">
        <v>510</v>
      </c>
      <c r="H85" s="22"/>
      <c r="I85" s="22"/>
      <c r="J85" s="69" t="s">
        <v>334</v>
      </c>
      <c r="K85" s="11">
        <v>0</v>
      </c>
      <c r="L85" s="11">
        <v>1</v>
      </c>
      <c r="M85" s="22"/>
      <c r="N85" s="69" t="s">
        <v>478</v>
      </c>
      <c r="O85" s="69" t="s">
        <v>81</v>
      </c>
      <c r="P85" s="69" t="s">
        <v>60</v>
      </c>
      <c r="Q85" s="69" t="s">
        <v>83</v>
      </c>
      <c r="R85" s="69" t="s">
        <v>60</v>
      </c>
      <c r="S85" s="12" t="s">
        <v>920</v>
      </c>
    </row>
    <row r="86" spans="1:19" ht="43.5" hidden="1" x14ac:dyDescent="0.35">
      <c r="A86" s="22" t="s">
        <v>465</v>
      </c>
      <c r="B86" s="22" t="s">
        <v>511</v>
      </c>
      <c r="C86" s="22" t="s">
        <v>507</v>
      </c>
      <c r="D86" s="22" t="s">
        <v>512</v>
      </c>
      <c r="E86" s="22" t="s">
        <v>513</v>
      </c>
      <c r="F86" s="22" t="s">
        <v>514</v>
      </c>
      <c r="G86" s="22" t="s">
        <v>515</v>
      </c>
      <c r="H86" s="22" t="s">
        <v>516</v>
      </c>
      <c r="I86" s="22" t="s">
        <v>517</v>
      </c>
      <c r="J86" s="69" t="s">
        <v>334</v>
      </c>
      <c r="K86" s="11">
        <v>0</v>
      </c>
      <c r="L86" s="11">
        <v>0</v>
      </c>
      <c r="M86" s="22"/>
      <c r="N86" s="69" t="s">
        <v>478</v>
      </c>
      <c r="O86" s="69" t="s">
        <v>81</v>
      </c>
      <c r="P86" s="69" t="s">
        <v>60</v>
      </c>
      <c r="Q86" s="69" t="s">
        <v>83</v>
      </c>
      <c r="R86" s="69" t="s">
        <v>60</v>
      </c>
    </row>
    <row r="87" spans="1:19" ht="58" hidden="1" x14ac:dyDescent="0.35">
      <c r="A87" s="22" t="s">
        <v>465</v>
      </c>
      <c r="B87" s="22" t="s">
        <v>518</v>
      </c>
      <c r="C87" s="22" t="s">
        <v>519</v>
      </c>
      <c r="D87" s="22" t="s">
        <v>520</v>
      </c>
      <c r="E87" s="22" t="s">
        <v>133</v>
      </c>
      <c r="F87" s="22" t="s">
        <v>521</v>
      </c>
      <c r="G87" s="22" t="s">
        <v>522</v>
      </c>
      <c r="H87" s="22" t="s">
        <v>523</v>
      </c>
      <c r="I87" s="22"/>
      <c r="J87" s="69" t="s">
        <v>334</v>
      </c>
      <c r="K87" s="11">
        <v>0</v>
      </c>
      <c r="L87" s="11">
        <v>0</v>
      </c>
      <c r="M87" s="22"/>
      <c r="N87" s="69" t="s">
        <v>478</v>
      </c>
      <c r="O87" s="69" t="s">
        <v>81</v>
      </c>
      <c r="P87" s="69" t="s">
        <v>60</v>
      </c>
      <c r="Q87" s="69" t="s">
        <v>83</v>
      </c>
      <c r="R87" s="69" t="s">
        <v>34</v>
      </c>
    </row>
    <row r="88" spans="1:19" ht="29" hidden="1" x14ac:dyDescent="0.35">
      <c r="A88" s="22" t="s">
        <v>465</v>
      </c>
      <c r="B88" s="22" t="s">
        <v>524</v>
      </c>
      <c r="C88" s="22" t="s">
        <v>519</v>
      </c>
      <c r="D88" s="22" t="s">
        <v>525</v>
      </c>
      <c r="E88" s="22" t="s">
        <v>81</v>
      </c>
      <c r="F88" s="22" t="s">
        <v>526</v>
      </c>
      <c r="G88" s="22" t="s">
        <v>527</v>
      </c>
      <c r="H88" s="22" t="s">
        <v>528</v>
      </c>
      <c r="I88" s="22"/>
      <c r="J88" s="69" t="s">
        <v>334</v>
      </c>
      <c r="K88" s="11">
        <v>0</v>
      </c>
      <c r="L88" s="11">
        <v>0</v>
      </c>
      <c r="M88" s="22"/>
      <c r="N88" s="69" t="s">
        <v>478</v>
      </c>
      <c r="O88" s="69" t="s">
        <v>81</v>
      </c>
      <c r="P88" s="69" t="s">
        <v>60</v>
      </c>
      <c r="Q88" s="69" t="s">
        <v>83</v>
      </c>
      <c r="R88" s="69" t="s">
        <v>34</v>
      </c>
    </row>
    <row r="89" spans="1:19" ht="58" x14ac:dyDescent="0.35">
      <c r="A89" s="22" t="s">
        <v>465</v>
      </c>
      <c r="B89" s="22" t="s">
        <v>529</v>
      </c>
      <c r="C89" s="22" t="s">
        <v>290</v>
      </c>
      <c r="D89" s="22" t="s">
        <v>530</v>
      </c>
      <c r="E89" s="22" t="s">
        <v>81</v>
      </c>
      <c r="F89" s="22" t="s">
        <v>531</v>
      </c>
      <c r="G89" s="22" t="s">
        <v>532</v>
      </c>
      <c r="H89" s="22" t="s">
        <v>533</v>
      </c>
      <c r="I89" s="22"/>
      <c r="J89" s="69" t="s">
        <v>334</v>
      </c>
      <c r="K89" s="11" t="s">
        <v>112</v>
      </c>
      <c r="L89" s="11">
        <v>1</v>
      </c>
      <c r="M89" s="22"/>
      <c r="N89" s="69"/>
      <c r="O89" s="69"/>
      <c r="P89" s="69"/>
      <c r="Q89" s="69"/>
      <c r="R89" s="69"/>
      <c r="S89" s="12" t="s">
        <v>920</v>
      </c>
    </row>
    <row r="90" spans="1:19" ht="29" hidden="1" x14ac:dyDescent="0.35">
      <c r="A90" s="22" t="s">
        <v>465</v>
      </c>
      <c r="B90" s="22" t="s">
        <v>534</v>
      </c>
      <c r="C90" s="22" t="s">
        <v>535</v>
      </c>
      <c r="D90" s="22" t="s">
        <v>536</v>
      </c>
      <c r="E90" s="22" t="s">
        <v>81</v>
      </c>
      <c r="F90" s="22" t="s">
        <v>537</v>
      </c>
      <c r="G90" s="22" t="s">
        <v>538</v>
      </c>
      <c r="H90" s="22" t="s">
        <v>539</v>
      </c>
      <c r="I90" s="22"/>
      <c r="J90" s="19"/>
      <c r="K90" s="19">
        <v>0</v>
      </c>
      <c r="L90" s="11">
        <v>0</v>
      </c>
      <c r="M90" s="22"/>
      <c r="N90" s="69"/>
      <c r="O90" s="69"/>
      <c r="P90" s="69"/>
      <c r="Q90" s="69"/>
      <c r="R90" s="69"/>
    </row>
    <row r="91" spans="1:19" ht="29" hidden="1" x14ac:dyDescent="0.35">
      <c r="A91" s="22" t="s">
        <v>465</v>
      </c>
      <c r="B91" s="22" t="s">
        <v>540</v>
      </c>
      <c r="C91" s="22" t="s">
        <v>390</v>
      </c>
      <c r="D91" s="22" t="s">
        <v>541</v>
      </c>
      <c r="E91" s="22" t="s">
        <v>81</v>
      </c>
      <c r="F91" s="22" t="s">
        <v>542</v>
      </c>
      <c r="G91" s="22"/>
      <c r="H91" s="22"/>
      <c r="I91" s="22"/>
      <c r="J91" s="67"/>
      <c r="K91" s="11">
        <v>0</v>
      </c>
      <c r="L91" s="11">
        <v>0</v>
      </c>
      <c r="M91" s="22"/>
      <c r="N91" s="69"/>
      <c r="O91" s="69"/>
      <c r="P91" s="69"/>
      <c r="Q91" s="69"/>
      <c r="R91" s="69"/>
    </row>
    <row r="92" spans="1:19" hidden="1" x14ac:dyDescent="0.35">
      <c r="A92" s="22" t="s">
        <v>465</v>
      </c>
      <c r="B92" s="22" t="s">
        <v>543</v>
      </c>
      <c r="C92" s="22" t="s">
        <v>535</v>
      </c>
      <c r="D92" s="22" t="s">
        <v>544</v>
      </c>
      <c r="E92" s="22" t="s">
        <v>81</v>
      </c>
      <c r="F92" s="22" t="s">
        <v>545</v>
      </c>
      <c r="G92" s="22" t="s">
        <v>546</v>
      </c>
      <c r="H92" s="22"/>
      <c r="I92" s="22"/>
      <c r="J92" s="67"/>
      <c r="K92" s="11">
        <v>0</v>
      </c>
      <c r="L92" s="11">
        <v>0</v>
      </c>
      <c r="M92" s="22"/>
      <c r="N92" s="69"/>
      <c r="O92" s="69"/>
      <c r="P92" s="69"/>
      <c r="Q92" s="69"/>
      <c r="R92" s="69"/>
    </row>
    <row r="93" spans="1:19" ht="29" hidden="1" x14ac:dyDescent="0.35">
      <c r="A93" s="22" t="s">
        <v>465</v>
      </c>
      <c r="B93" s="22" t="s">
        <v>547</v>
      </c>
      <c r="C93" s="22" t="s">
        <v>535</v>
      </c>
      <c r="D93" s="22" t="s">
        <v>548</v>
      </c>
      <c r="E93" s="22" t="s">
        <v>81</v>
      </c>
      <c r="F93" s="22" t="s">
        <v>545</v>
      </c>
      <c r="G93" s="22" t="s">
        <v>546</v>
      </c>
      <c r="H93" s="22"/>
      <c r="I93" s="22"/>
      <c r="J93" s="67"/>
      <c r="K93" s="11">
        <v>0</v>
      </c>
      <c r="L93" s="11">
        <v>0</v>
      </c>
      <c r="M93" s="22"/>
      <c r="N93" s="69"/>
      <c r="O93" s="69"/>
      <c r="P93" s="69"/>
      <c r="Q93" s="69"/>
      <c r="R93" s="69"/>
    </row>
    <row r="94" spans="1:19" ht="29" hidden="1" x14ac:dyDescent="0.35">
      <c r="A94" s="22" t="s">
        <v>465</v>
      </c>
      <c r="B94" s="22" t="s">
        <v>549</v>
      </c>
      <c r="C94" s="22" t="s">
        <v>535</v>
      </c>
      <c r="D94" s="22" t="s">
        <v>550</v>
      </c>
      <c r="E94" s="22" t="s">
        <v>81</v>
      </c>
      <c r="F94" s="22" t="s">
        <v>545</v>
      </c>
      <c r="G94" s="22" t="s">
        <v>546</v>
      </c>
      <c r="H94" s="22"/>
      <c r="I94" s="22"/>
      <c r="J94" s="67"/>
      <c r="K94" s="11">
        <v>0</v>
      </c>
      <c r="L94" s="11">
        <v>0</v>
      </c>
      <c r="M94" s="22"/>
      <c r="N94" s="69"/>
      <c r="O94" s="69"/>
      <c r="P94" s="69"/>
      <c r="Q94" s="69"/>
      <c r="R94" s="69"/>
    </row>
    <row r="95" spans="1:19" ht="43.5" hidden="1" x14ac:dyDescent="0.35">
      <c r="A95" s="22" t="s">
        <v>465</v>
      </c>
      <c r="B95" s="22" t="s">
        <v>551</v>
      </c>
      <c r="C95" s="22" t="s">
        <v>390</v>
      </c>
      <c r="D95" s="22" t="s">
        <v>552</v>
      </c>
      <c r="E95" s="22" t="s">
        <v>81</v>
      </c>
      <c r="F95" s="22" t="s">
        <v>408</v>
      </c>
      <c r="G95" s="22" t="s">
        <v>553</v>
      </c>
      <c r="H95" s="22" t="s">
        <v>554</v>
      </c>
      <c r="I95" s="22"/>
      <c r="J95" s="67"/>
      <c r="K95" s="11">
        <v>0</v>
      </c>
      <c r="L95" s="11">
        <v>0</v>
      </c>
      <c r="M95" s="22"/>
      <c r="N95" s="69"/>
      <c r="O95" s="69"/>
      <c r="P95" s="69"/>
      <c r="Q95" s="69"/>
      <c r="R95" s="69"/>
    </row>
    <row r="96" spans="1:19" hidden="1" x14ac:dyDescent="0.35">
      <c r="A96" s="22" t="s">
        <v>465</v>
      </c>
      <c r="B96" s="22" t="s">
        <v>555</v>
      </c>
      <c r="C96" s="22" t="s">
        <v>535</v>
      </c>
      <c r="D96" s="22" t="s">
        <v>556</v>
      </c>
      <c r="E96" s="22" t="s">
        <v>81</v>
      </c>
      <c r="F96" s="22" t="s">
        <v>408</v>
      </c>
      <c r="G96" s="22" t="s">
        <v>557</v>
      </c>
      <c r="H96" s="22"/>
      <c r="I96" s="22"/>
      <c r="J96" s="67"/>
      <c r="K96" s="11">
        <v>0</v>
      </c>
      <c r="L96" s="11">
        <v>0</v>
      </c>
      <c r="M96" s="22"/>
      <c r="N96" s="69"/>
      <c r="O96" s="69"/>
      <c r="P96" s="69"/>
      <c r="Q96" s="69"/>
      <c r="R96" s="69"/>
    </row>
    <row r="97" spans="1:19" ht="29" hidden="1" x14ac:dyDescent="0.35">
      <c r="A97" s="22" t="s">
        <v>465</v>
      </c>
      <c r="B97" s="22" t="s">
        <v>558</v>
      </c>
      <c r="C97" s="22" t="s">
        <v>535</v>
      </c>
      <c r="D97" s="22" t="s">
        <v>559</v>
      </c>
      <c r="E97" s="22" t="s">
        <v>81</v>
      </c>
      <c r="F97" s="22" t="s">
        <v>408</v>
      </c>
      <c r="G97" s="22" t="s">
        <v>557</v>
      </c>
      <c r="H97" s="22"/>
      <c r="I97" s="22"/>
      <c r="J97" s="67"/>
      <c r="K97" s="11">
        <v>0</v>
      </c>
      <c r="L97" s="11">
        <v>0</v>
      </c>
      <c r="M97" s="22"/>
      <c r="N97" s="69"/>
      <c r="O97" s="69"/>
      <c r="P97" s="69"/>
      <c r="Q97" s="69"/>
      <c r="R97" s="69"/>
    </row>
    <row r="98" spans="1:19" ht="29" hidden="1" x14ac:dyDescent="0.35">
      <c r="A98" s="22" t="s">
        <v>465</v>
      </c>
      <c r="B98" s="22" t="s">
        <v>560</v>
      </c>
      <c r="C98" s="22" t="s">
        <v>373</v>
      </c>
      <c r="D98" s="22" t="s">
        <v>561</v>
      </c>
      <c r="E98" s="22" t="s">
        <v>81</v>
      </c>
      <c r="F98" s="22" t="s">
        <v>562</v>
      </c>
      <c r="G98" s="22" t="s">
        <v>563</v>
      </c>
      <c r="H98" s="22"/>
      <c r="I98" s="22"/>
      <c r="J98" s="67"/>
      <c r="K98" s="11">
        <v>0</v>
      </c>
      <c r="L98" s="11">
        <v>0</v>
      </c>
      <c r="M98" s="22"/>
      <c r="N98" s="69"/>
      <c r="O98" s="69"/>
      <c r="P98" s="69"/>
      <c r="Q98" s="69"/>
      <c r="R98" s="69"/>
    </row>
    <row r="99" spans="1:19" ht="29" hidden="1" x14ac:dyDescent="0.35">
      <c r="A99" s="22" t="s">
        <v>465</v>
      </c>
      <c r="B99" s="22" t="s">
        <v>564</v>
      </c>
      <c r="C99" s="22" t="s">
        <v>390</v>
      </c>
      <c r="D99" s="22" t="s">
        <v>565</v>
      </c>
      <c r="E99" s="22" t="s">
        <v>81</v>
      </c>
      <c r="F99" s="22" t="s">
        <v>566</v>
      </c>
      <c r="G99" s="22" t="s">
        <v>567</v>
      </c>
      <c r="H99" s="22"/>
      <c r="I99" s="22"/>
      <c r="J99" s="67"/>
      <c r="K99" s="11">
        <v>0</v>
      </c>
      <c r="L99" s="11">
        <v>0</v>
      </c>
      <c r="M99" s="22"/>
      <c r="N99" s="69"/>
      <c r="O99" s="69"/>
      <c r="P99" s="69"/>
      <c r="Q99" s="69"/>
      <c r="R99" s="69"/>
    </row>
    <row r="100" spans="1:19" ht="29" hidden="1" x14ac:dyDescent="0.35">
      <c r="A100" s="22" t="s">
        <v>465</v>
      </c>
      <c r="B100" s="22" t="s">
        <v>568</v>
      </c>
      <c r="C100" s="22" t="s">
        <v>373</v>
      </c>
      <c r="D100" s="22" t="s">
        <v>569</v>
      </c>
      <c r="E100" s="22" t="s">
        <v>81</v>
      </c>
      <c r="F100" s="22" t="s">
        <v>570</v>
      </c>
      <c r="G100" s="22" t="s">
        <v>571</v>
      </c>
      <c r="H100" s="22"/>
      <c r="I100" s="22"/>
      <c r="J100" s="67"/>
      <c r="K100" s="11">
        <v>0</v>
      </c>
      <c r="L100" s="11">
        <v>0</v>
      </c>
      <c r="M100" s="22"/>
      <c r="N100" s="69"/>
      <c r="O100" s="69"/>
      <c r="P100" s="69"/>
      <c r="Q100" s="69"/>
      <c r="R100" s="69"/>
    </row>
    <row r="101" spans="1:19" ht="174.5" customHeight="1" x14ac:dyDescent="0.35">
      <c r="A101" s="22" t="s">
        <v>465</v>
      </c>
      <c r="B101" s="22" t="s">
        <v>572</v>
      </c>
      <c r="C101" s="22" t="s">
        <v>573</v>
      </c>
      <c r="D101" s="22" t="s">
        <v>573</v>
      </c>
      <c r="E101" s="22" t="s">
        <v>574</v>
      </c>
      <c r="F101" s="22" t="s">
        <v>575</v>
      </c>
      <c r="G101" s="22"/>
      <c r="H101" s="22"/>
      <c r="I101" s="22"/>
      <c r="J101" s="20" t="s">
        <v>576</v>
      </c>
      <c r="K101" s="11" t="s">
        <v>112</v>
      </c>
      <c r="L101" s="11">
        <v>1</v>
      </c>
      <c r="M101" s="22" t="s">
        <v>577</v>
      </c>
      <c r="N101" s="69" t="s">
        <v>577</v>
      </c>
      <c r="O101" s="69" t="s">
        <v>578</v>
      </c>
      <c r="P101" s="69" t="s">
        <v>136</v>
      </c>
      <c r="Q101" s="69" t="s">
        <v>60</v>
      </c>
      <c r="R101" s="69" t="s">
        <v>60</v>
      </c>
      <c r="S101" s="12" t="s">
        <v>920</v>
      </c>
    </row>
    <row r="102" spans="1:19" ht="101.5" hidden="1" x14ac:dyDescent="0.35">
      <c r="A102" s="22" t="s">
        <v>465</v>
      </c>
      <c r="B102" s="22" t="s">
        <v>579</v>
      </c>
      <c r="C102" s="22" t="s">
        <v>132</v>
      </c>
      <c r="D102" s="22" t="s">
        <v>132</v>
      </c>
      <c r="E102" s="22" t="s">
        <v>133</v>
      </c>
      <c r="F102" s="22" t="s">
        <v>580</v>
      </c>
      <c r="G102" s="22" t="s">
        <v>581</v>
      </c>
      <c r="H102" s="22" t="s">
        <v>582</v>
      </c>
      <c r="I102" s="22" t="s">
        <v>583</v>
      </c>
      <c r="J102" s="20" t="s">
        <v>81</v>
      </c>
      <c r="K102" s="11" t="s">
        <v>112</v>
      </c>
      <c r="L102" s="11">
        <v>0</v>
      </c>
      <c r="M102" s="22" t="s">
        <v>135</v>
      </c>
      <c r="N102" s="69" t="s">
        <v>584</v>
      </c>
      <c r="O102" s="69" t="s">
        <v>81</v>
      </c>
      <c r="P102" s="69" t="s">
        <v>136</v>
      </c>
      <c r="Q102" s="69" t="s">
        <v>60</v>
      </c>
      <c r="R102" s="69" t="s">
        <v>60</v>
      </c>
    </row>
    <row r="103" spans="1:19" hidden="1" x14ac:dyDescent="0.35">
      <c r="A103" s="22" t="s">
        <v>465</v>
      </c>
      <c r="B103" s="22" t="s">
        <v>585</v>
      </c>
      <c r="C103" s="22" t="s">
        <v>586</v>
      </c>
      <c r="D103" s="22" t="s">
        <v>586</v>
      </c>
      <c r="E103" s="22" t="s">
        <v>587</v>
      </c>
      <c r="F103" s="22" t="s">
        <v>588</v>
      </c>
      <c r="G103" s="22" t="s">
        <v>589</v>
      </c>
      <c r="H103" s="22" t="s">
        <v>590</v>
      </c>
      <c r="I103" s="22"/>
      <c r="J103" s="20" t="s">
        <v>334</v>
      </c>
      <c r="K103" s="11"/>
      <c r="L103" s="11">
        <v>0</v>
      </c>
      <c r="M103" s="22"/>
      <c r="N103" s="69"/>
      <c r="O103" s="69"/>
      <c r="P103" s="69"/>
      <c r="Q103" s="69"/>
      <c r="R103" s="69"/>
    </row>
    <row r="104" spans="1:19" ht="43.5" x14ac:dyDescent="0.35">
      <c r="A104" s="22" t="s">
        <v>465</v>
      </c>
      <c r="B104" s="22" t="s">
        <v>591</v>
      </c>
      <c r="C104" s="22" t="s">
        <v>290</v>
      </c>
      <c r="D104" s="22" t="s">
        <v>592</v>
      </c>
      <c r="E104" s="22" t="s">
        <v>81</v>
      </c>
      <c r="F104" s="22" t="s">
        <v>593</v>
      </c>
      <c r="G104" s="22" t="s">
        <v>594</v>
      </c>
      <c r="H104" s="22"/>
      <c r="I104" s="22"/>
      <c r="J104" s="59" t="s">
        <v>120</v>
      </c>
      <c r="K104" s="11" t="s">
        <v>112</v>
      </c>
      <c r="L104" s="11">
        <v>1</v>
      </c>
      <c r="M104" s="22"/>
      <c r="N104" s="69"/>
      <c r="O104" s="69"/>
      <c r="P104" s="69"/>
      <c r="Q104" s="69"/>
      <c r="R104" s="69"/>
      <c r="S104" s="12" t="s">
        <v>920</v>
      </c>
    </row>
    <row r="105" spans="1:19" ht="43.5" x14ac:dyDescent="0.35">
      <c r="A105" s="22" t="s">
        <v>465</v>
      </c>
      <c r="B105" s="22" t="s">
        <v>595</v>
      </c>
      <c r="C105" s="22" t="s">
        <v>596</v>
      </c>
      <c r="D105" s="22" t="s">
        <v>597</v>
      </c>
      <c r="E105" s="22" t="s">
        <v>598</v>
      </c>
      <c r="F105" s="22" t="s">
        <v>599</v>
      </c>
      <c r="G105" s="22" t="s">
        <v>600</v>
      </c>
      <c r="H105" s="22" t="s">
        <v>601</v>
      </c>
      <c r="I105" s="22" t="s">
        <v>602</v>
      </c>
      <c r="J105" s="59" t="s">
        <v>120</v>
      </c>
      <c r="K105" s="11" t="s">
        <v>112</v>
      </c>
      <c r="L105" s="11">
        <v>1</v>
      </c>
      <c r="M105" s="22"/>
      <c r="N105" s="69"/>
      <c r="O105" s="69"/>
      <c r="P105" s="69"/>
      <c r="Q105" s="69"/>
      <c r="R105" s="69"/>
      <c r="S105" s="12" t="s">
        <v>920</v>
      </c>
    </row>
    <row r="106" spans="1:19" ht="29" hidden="1" x14ac:dyDescent="0.35">
      <c r="A106" s="57" t="s">
        <v>603</v>
      </c>
      <c r="B106" s="57" t="s">
        <v>604</v>
      </c>
      <c r="C106" s="57" t="s">
        <v>605</v>
      </c>
      <c r="D106" s="57" t="s">
        <v>605</v>
      </c>
      <c r="E106" s="57" t="s">
        <v>587</v>
      </c>
      <c r="F106" s="57" t="s">
        <v>606</v>
      </c>
      <c r="G106" s="57" t="s">
        <v>607</v>
      </c>
      <c r="H106" s="57"/>
      <c r="I106" s="57"/>
      <c r="J106" s="70" t="s">
        <v>334</v>
      </c>
      <c r="K106" s="11"/>
      <c r="L106" s="11">
        <v>0</v>
      </c>
      <c r="M106" s="57"/>
      <c r="N106" s="57"/>
      <c r="O106" s="57"/>
      <c r="P106" s="57"/>
      <c r="Q106" s="57"/>
      <c r="R106" s="57"/>
    </row>
    <row r="107" spans="1:19" ht="29" hidden="1" x14ac:dyDescent="0.35">
      <c r="A107" s="57" t="s">
        <v>603</v>
      </c>
      <c r="B107" s="57" t="s">
        <v>608</v>
      </c>
      <c r="C107" s="57" t="s">
        <v>609</v>
      </c>
      <c r="D107" s="57" t="s">
        <v>609</v>
      </c>
      <c r="E107" s="57" t="s">
        <v>587</v>
      </c>
      <c r="F107" s="57" t="s">
        <v>610</v>
      </c>
      <c r="G107" s="57" t="s">
        <v>611</v>
      </c>
      <c r="H107" s="57" t="s">
        <v>612</v>
      </c>
      <c r="I107" s="57"/>
      <c r="J107" s="70" t="s">
        <v>334</v>
      </c>
      <c r="K107" s="11"/>
      <c r="L107" s="11">
        <v>0</v>
      </c>
      <c r="M107" s="57"/>
      <c r="N107" s="57"/>
      <c r="O107" s="57"/>
      <c r="P107" s="57"/>
      <c r="Q107" s="57"/>
      <c r="R107" s="57"/>
    </row>
    <row r="108" spans="1:19" ht="29" hidden="1" x14ac:dyDescent="0.35">
      <c r="A108" s="57" t="s">
        <v>603</v>
      </c>
      <c r="B108" s="57" t="s">
        <v>613</v>
      </c>
      <c r="C108" s="57" t="s">
        <v>614</v>
      </c>
      <c r="D108" s="57" t="s">
        <v>614</v>
      </c>
      <c r="E108" s="57" t="s">
        <v>587</v>
      </c>
      <c r="F108" s="57" t="s">
        <v>606</v>
      </c>
      <c r="G108" s="57" t="s">
        <v>607</v>
      </c>
      <c r="H108" s="57"/>
      <c r="I108" s="57"/>
      <c r="J108" s="70" t="s">
        <v>334</v>
      </c>
      <c r="K108" s="11"/>
      <c r="L108" s="11">
        <v>0</v>
      </c>
      <c r="M108" s="57"/>
      <c r="N108" s="57"/>
      <c r="O108" s="57"/>
      <c r="P108" s="57"/>
      <c r="Q108" s="57"/>
      <c r="R108" s="57"/>
    </row>
    <row r="109" spans="1:19" ht="29" hidden="1" x14ac:dyDescent="0.35">
      <c r="A109" s="57" t="s">
        <v>603</v>
      </c>
      <c r="B109" s="57" t="s">
        <v>615</v>
      </c>
      <c r="C109" s="57" t="s">
        <v>616</v>
      </c>
      <c r="D109" s="57" t="s">
        <v>617</v>
      </c>
      <c r="E109" s="57" t="s">
        <v>587</v>
      </c>
      <c r="F109" s="57" t="s">
        <v>618</v>
      </c>
      <c r="G109" s="57" t="s">
        <v>618</v>
      </c>
      <c r="H109" s="57"/>
      <c r="I109" s="57"/>
      <c r="J109" s="70" t="s">
        <v>334</v>
      </c>
      <c r="K109" s="11"/>
      <c r="L109" s="11">
        <v>0</v>
      </c>
      <c r="M109" s="57"/>
      <c r="N109" s="57"/>
      <c r="O109" s="57"/>
      <c r="P109" s="57"/>
      <c r="Q109" s="57"/>
      <c r="R109" s="57"/>
    </row>
    <row r="110" spans="1:19" ht="43.5" hidden="1" x14ac:dyDescent="0.35">
      <c r="A110" s="57" t="s">
        <v>603</v>
      </c>
      <c r="B110" s="57" t="s">
        <v>619</v>
      </c>
      <c r="C110" s="57" t="s">
        <v>616</v>
      </c>
      <c r="D110" s="57" t="s">
        <v>620</v>
      </c>
      <c r="E110" s="57" t="s">
        <v>587</v>
      </c>
      <c r="F110" s="57" t="s">
        <v>621</v>
      </c>
      <c r="G110" s="57" t="s">
        <v>622</v>
      </c>
      <c r="H110" s="57"/>
      <c r="I110" s="57"/>
      <c r="J110" s="70" t="s">
        <v>334</v>
      </c>
      <c r="K110" s="11"/>
      <c r="L110" s="11">
        <v>0</v>
      </c>
      <c r="M110" s="57"/>
      <c r="N110" s="57"/>
      <c r="O110" s="57"/>
      <c r="P110" s="57"/>
      <c r="Q110" s="57"/>
      <c r="R110" s="57"/>
    </row>
    <row r="111" spans="1:19" ht="29" hidden="1" x14ac:dyDescent="0.35">
      <c r="A111" s="57" t="s">
        <v>603</v>
      </c>
      <c r="B111" s="57" t="s">
        <v>623</v>
      </c>
      <c r="C111" s="57" t="s">
        <v>624</v>
      </c>
      <c r="D111" s="57" t="s">
        <v>624</v>
      </c>
      <c r="E111" s="57" t="s">
        <v>587</v>
      </c>
      <c r="F111" s="57" t="s">
        <v>625</v>
      </c>
      <c r="G111" s="57" t="s">
        <v>626</v>
      </c>
      <c r="H111" s="57"/>
      <c r="I111" s="57"/>
      <c r="J111" s="70" t="s">
        <v>334</v>
      </c>
      <c r="K111" s="11"/>
      <c r="L111" s="11">
        <v>0</v>
      </c>
      <c r="M111" s="57"/>
      <c r="N111" s="57"/>
      <c r="O111" s="57"/>
      <c r="P111" s="57"/>
      <c r="Q111" s="57"/>
      <c r="R111" s="57"/>
    </row>
    <row r="112" spans="1:19" hidden="1" x14ac:dyDescent="0.35">
      <c r="A112" s="57" t="s">
        <v>603</v>
      </c>
      <c r="B112" s="57" t="s">
        <v>627</v>
      </c>
      <c r="C112" s="57" t="s">
        <v>628</v>
      </c>
      <c r="D112" s="57" t="s">
        <v>629</v>
      </c>
      <c r="E112" s="57" t="s">
        <v>630</v>
      </c>
      <c r="F112" s="57" t="s">
        <v>631</v>
      </c>
      <c r="G112" s="57" t="s">
        <v>632</v>
      </c>
      <c r="H112" s="57"/>
      <c r="I112" s="57"/>
      <c r="J112" s="70" t="s">
        <v>334</v>
      </c>
      <c r="K112" s="11"/>
      <c r="L112" s="11">
        <v>0</v>
      </c>
      <c r="M112" s="57"/>
      <c r="N112" s="57"/>
      <c r="O112" s="57"/>
      <c r="P112" s="57"/>
      <c r="Q112" s="57"/>
      <c r="R112" s="57"/>
    </row>
    <row r="113" spans="1:18" hidden="1" x14ac:dyDescent="0.35">
      <c r="A113" s="57" t="s">
        <v>603</v>
      </c>
      <c r="B113" s="57" t="s">
        <v>633</v>
      </c>
      <c r="C113" s="57" t="s">
        <v>628</v>
      </c>
      <c r="D113" s="57" t="s">
        <v>634</v>
      </c>
      <c r="E113" s="57" t="s">
        <v>635</v>
      </c>
      <c r="F113" s="57" t="s">
        <v>636</v>
      </c>
      <c r="G113" s="57" t="s">
        <v>632</v>
      </c>
      <c r="H113" s="57"/>
      <c r="I113" s="57"/>
      <c r="J113" s="70" t="s">
        <v>334</v>
      </c>
      <c r="K113" s="11"/>
      <c r="L113" s="11">
        <v>0</v>
      </c>
      <c r="M113" s="57"/>
      <c r="N113" s="57"/>
      <c r="O113" s="57"/>
      <c r="P113" s="57"/>
      <c r="Q113" s="57"/>
      <c r="R113" s="57"/>
    </row>
    <row r="114" spans="1:18" ht="43.5" hidden="1" x14ac:dyDescent="0.35">
      <c r="A114" s="57" t="s">
        <v>603</v>
      </c>
      <c r="B114" s="57" t="s">
        <v>637</v>
      </c>
      <c r="C114" s="57" t="s">
        <v>628</v>
      </c>
      <c r="D114" s="57" t="s">
        <v>638</v>
      </c>
      <c r="E114" s="57" t="s">
        <v>639</v>
      </c>
      <c r="F114" s="57" t="s">
        <v>640</v>
      </c>
      <c r="G114" s="57" t="s">
        <v>641</v>
      </c>
      <c r="H114" s="57"/>
      <c r="I114" s="57"/>
      <c r="J114" s="70" t="s">
        <v>334</v>
      </c>
      <c r="K114" s="11"/>
      <c r="L114" s="11">
        <v>0</v>
      </c>
      <c r="M114" s="57"/>
      <c r="N114" s="57"/>
      <c r="O114" s="57"/>
      <c r="P114" s="57"/>
      <c r="Q114" s="57"/>
      <c r="R114" s="57"/>
    </row>
    <row r="115" spans="1:18" hidden="1" x14ac:dyDescent="0.35">
      <c r="A115" s="57" t="s">
        <v>603</v>
      </c>
      <c r="B115" s="57" t="s">
        <v>642</v>
      </c>
      <c r="C115" s="57" t="s">
        <v>628</v>
      </c>
      <c r="D115" s="57" t="s">
        <v>643</v>
      </c>
      <c r="E115" s="57" t="s">
        <v>644</v>
      </c>
      <c r="F115" s="57" t="s">
        <v>645</v>
      </c>
      <c r="G115" s="57"/>
      <c r="H115" s="57"/>
      <c r="I115" s="57"/>
      <c r="J115" s="70" t="s">
        <v>334</v>
      </c>
      <c r="K115" s="11"/>
      <c r="L115" s="11">
        <v>0</v>
      </c>
      <c r="M115" s="57"/>
      <c r="N115" s="57"/>
      <c r="O115" s="57"/>
      <c r="P115" s="57"/>
      <c r="Q115" s="57"/>
      <c r="R115" s="57"/>
    </row>
    <row r="116" spans="1:18" ht="43.5" hidden="1" x14ac:dyDescent="0.35">
      <c r="A116" s="57" t="s">
        <v>603</v>
      </c>
      <c r="B116" s="57" t="s">
        <v>646</v>
      </c>
      <c r="C116" s="57" t="s">
        <v>628</v>
      </c>
      <c r="D116" s="57" t="s">
        <v>647</v>
      </c>
      <c r="E116" s="57" t="s">
        <v>648</v>
      </c>
      <c r="F116" s="57" t="s">
        <v>649</v>
      </c>
      <c r="G116" s="57" t="s">
        <v>650</v>
      </c>
      <c r="H116" s="57" t="s">
        <v>651</v>
      </c>
      <c r="I116" s="57"/>
      <c r="J116" s="70" t="s">
        <v>334</v>
      </c>
      <c r="K116" s="11"/>
      <c r="L116" s="11">
        <v>0</v>
      </c>
      <c r="M116" s="57"/>
      <c r="N116" s="57"/>
      <c r="O116" s="57"/>
      <c r="P116" s="57"/>
      <c r="Q116" s="57"/>
      <c r="R116" s="57"/>
    </row>
    <row r="117" spans="1:18" ht="29" hidden="1" x14ac:dyDescent="0.35">
      <c r="A117" s="57" t="s">
        <v>603</v>
      </c>
      <c r="B117" s="57" t="s">
        <v>652</v>
      </c>
      <c r="C117" s="57" t="s">
        <v>628</v>
      </c>
      <c r="D117" s="57" t="s">
        <v>653</v>
      </c>
      <c r="E117" s="57" t="s">
        <v>587</v>
      </c>
      <c r="F117" s="57" t="s">
        <v>654</v>
      </c>
      <c r="G117" s="57" t="s">
        <v>655</v>
      </c>
      <c r="H117" s="57"/>
      <c r="I117" s="57"/>
      <c r="J117" s="70" t="s">
        <v>334</v>
      </c>
      <c r="K117" s="11"/>
      <c r="L117" s="11">
        <v>0</v>
      </c>
      <c r="M117" s="57"/>
      <c r="N117" s="57"/>
      <c r="O117" s="57"/>
      <c r="P117" s="57"/>
      <c r="Q117" s="57"/>
      <c r="R117" s="57"/>
    </row>
    <row r="118" spans="1:18" ht="28.75" hidden="1" customHeight="1" x14ac:dyDescent="0.35">
      <c r="A118" s="57" t="s">
        <v>603</v>
      </c>
      <c r="B118" s="57" t="s">
        <v>656</v>
      </c>
      <c r="C118" s="57" t="s">
        <v>657</v>
      </c>
      <c r="D118" s="57" t="s">
        <v>658</v>
      </c>
      <c r="E118" s="57" t="s">
        <v>659</v>
      </c>
      <c r="F118" s="57" t="s">
        <v>660</v>
      </c>
      <c r="G118" s="57" t="s">
        <v>661</v>
      </c>
      <c r="H118" s="57" t="s">
        <v>662</v>
      </c>
      <c r="I118" s="57" t="s">
        <v>663</v>
      </c>
      <c r="J118" s="70" t="s">
        <v>334</v>
      </c>
      <c r="K118" s="11"/>
      <c r="L118" s="11">
        <v>0</v>
      </c>
      <c r="M118" s="57"/>
      <c r="N118" s="57"/>
      <c r="O118" s="57"/>
      <c r="P118" s="57"/>
      <c r="Q118" s="57"/>
      <c r="R118" s="57"/>
    </row>
    <row r="119" spans="1:18" ht="28.4" hidden="1" customHeight="1" x14ac:dyDescent="0.35">
      <c r="A119" s="57" t="s">
        <v>603</v>
      </c>
      <c r="B119" s="57" t="s">
        <v>664</v>
      </c>
      <c r="C119" s="57" t="s">
        <v>665</v>
      </c>
      <c r="D119" s="57" t="s">
        <v>666</v>
      </c>
      <c r="E119" s="57" t="s">
        <v>667</v>
      </c>
      <c r="F119" s="57" t="s">
        <v>668</v>
      </c>
      <c r="G119" s="57" t="s">
        <v>669</v>
      </c>
      <c r="H119" s="57"/>
      <c r="I119" s="57"/>
      <c r="J119" s="70" t="s">
        <v>334</v>
      </c>
      <c r="K119" s="11"/>
      <c r="L119" s="11">
        <v>0</v>
      </c>
      <c r="M119" s="57"/>
      <c r="N119" s="57"/>
      <c r="O119" s="57"/>
      <c r="P119" s="57"/>
      <c r="Q119" s="57"/>
      <c r="R119" s="57"/>
    </row>
    <row r="120" spans="1:18" ht="28.4" hidden="1" customHeight="1" x14ac:dyDescent="0.35">
      <c r="A120" s="57" t="s">
        <v>603</v>
      </c>
      <c r="B120" s="57" t="s">
        <v>670</v>
      </c>
      <c r="C120" s="57" t="s">
        <v>665</v>
      </c>
      <c r="D120" s="57" t="s">
        <v>671</v>
      </c>
      <c r="E120" s="57"/>
      <c r="F120" s="57"/>
      <c r="G120" s="57"/>
      <c r="H120" s="57"/>
      <c r="I120" s="57"/>
      <c r="J120" s="70"/>
      <c r="K120" s="11"/>
      <c r="L120" s="11">
        <v>0</v>
      </c>
      <c r="M120" s="57"/>
      <c r="N120" s="57"/>
      <c r="O120" s="57"/>
      <c r="P120" s="57"/>
      <c r="Q120" s="57"/>
      <c r="R120" s="57"/>
    </row>
    <row r="121" spans="1:18" ht="29" hidden="1" x14ac:dyDescent="0.35">
      <c r="A121" s="57" t="s">
        <v>603</v>
      </c>
      <c r="B121" s="57" t="s">
        <v>672</v>
      </c>
      <c r="C121" s="57" t="s">
        <v>665</v>
      </c>
      <c r="D121" s="57" t="s">
        <v>673</v>
      </c>
      <c r="E121" s="57" t="s">
        <v>587</v>
      </c>
      <c r="F121" s="57" t="s">
        <v>674</v>
      </c>
      <c r="G121" s="57" t="s">
        <v>675</v>
      </c>
      <c r="H121" s="57"/>
      <c r="I121" s="57"/>
      <c r="J121" s="70" t="s">
        <v>334</v>
      </c>
      <c r="K121" s="11"/>
      <c r="L121" s="11">
        <v>0</v>
      </c>
      <c r="M121" s="57"/>
      <c r="N121" s="57"/>
      <c r="O121" s="57"/>
      <c r="P121" s="57"/>
      <c r="Q121" s="57"/>
      <c r="R121" s="57"/>
    </row>
    <row r="122" spans="1:18" x14ac:dyDescent="0.35">
      <c r="A122" s="74"/>
      <c r="B122" s="74"/>
      <c r="C122" s="74"/>
      <c r="D122" s="74"/>
      <c r="E122" s="74"/>
      <c r="F122" s="74"/>
      <c r="G122" s="74"/>
      <c r="H122" s="74"/>
      <c r="I122" s="74"/>
      <c r="J122" s="74"/>
      <c r="K122" s="74"/>
      <c r="L122" s="74"/>
      <c r="M122" s="74"/>
      <c r="N122" s="12"/>
    </row>
    <row r="123" spans="1:18" x14ac:dyDescent="0.35">
      <c r="A123" s="74"/>
      <c r="B123" s="74"/>
      <c r="C123" s="74"/>
      <c r="D123" s="74"/>
      <c r="E123" s="74"/>
      <c r="F123" s="74"/>
      <c r="G123" s="74"/>
      <c r="H123" s="74"/>
      <c r="I123" s="74"/>
      <c r="J123" s="74"/>
      <c r="K123" s="74"/>
      <c r="L123" s="74"/>
      <c r="M123" s="74"/>
      <c r="N123" s="12"/>
    </row>
  </sheetData>
  <sheetProtection algorithmName="SHA-512" hashValue="ElHxkCkAMFq2b4pt4hGKRhekI84Xw6HxhzUk7J4yqe+AAJ/U0/4pPfrs/3tISYjyo8betDop/5ZK3T2g+pHgzg==" saltValue="X6jK1jzkf9k8qo6qqYVJHg==" spinCount="100000" sheet="1" objects="1" scenarios="1"/>
  <autoFilter ref="A1:R121" xr:uid="{00000000-0009-0000-0000-000005000000}">
    <filterColumn colId="11">
      <filters>
        <filter val="1"/>
      </filters>
    </filterColumn>
  </autoFilter>
  <conditionalFormatting sqref="N75:N76">
    <cfRule type="colorScale" priority="121">
      <colorScale>
        <cfvo type="num" val="0"/>
        <cfvo type="num" val="1"/>
        <color rgb="FFF7ABAB"/>
        <color theme="9" tint="0.59999389629810485"/>
      </colorScale>
    </cfRule>
  </conditionalFormatting>
  <conditionalFormatting sqref="N75:N76">
    <cfRule type="iconSet" priority="122">
      <iconSet iconSet="3Symbols">
        <cfvo type="percent" val="0"/>
        <cfvo type="percent" val="33"/>
        <cfvo type="percent" val="67"/>
      </iconSet>
    </cfRule>
  </conditionalFormatting>
  <conditionalFormatting sqref="M75:M77">
    <cfRule type="colorScale" priority="119">
      <colorScale>
        <cfvo type="num" val="0"/>
        <cfvo type="num" val="1"/>
        <color rgb="FFF7ABAB"/>
        <color theme="9" tint="0.59999389629810485"/>
      </colorScale>
    </cfRule>
  </conditionalFormatting>
  <conditionalFormatting sqref="M75:M77">
    <cfRule type="iconSet" priority="120">
      <iconSet iconSet="3Symbols">
        <cfvo type="percent" val="0"/>
        <cfvo type="percent" val="33"/>
        <cfvo type="percent" val="67"/>
      </iconSet>
    </cfRule>
  </conditionalFormatting>
  <conditionalFormatting sqref="J75">
    <cfRule type="colorScale" priority="39">
      <colorScale>
        <cfvo type="num" val="0"/>
        <cfvo type="num" val="1"/>
        <color rgb="FFF7ABAB"/>
        <color theme="9" tint="0.59999389629810485"/>
      </colorScale>
    </cfRule>
  </conditionalFormatting>
  <conditionalFormatting sqref="J75">
    <cfRule type="iconSet" priority="40">
      <iconSet iconSet="3Symbols">
        <cfvo type="percent" val="0"/>
        <cfvo type="percent" val="33"/>
        <cfvo type="percent" val="67"/>
      </iconSet>
    </cfRule>
  </conditionalFormatting>
  <conditionalFormatting sqref="J76">
    <cfRule type="colorScale" priority="37">
      <colorScale>
        <cfvo type="num" val="0"/>
        <cfvo type="num" val="1"/>
        <color rgb="FFF7ABAB"/>
        <color theme="9" tint="0.59999389629810485"/>
      </colorScale>
    </cfRule>
  </conditionalFormatting>
  <conditionalFormatting sqref="J76">
    <cfRule type="iconSet" priority="38">
      <iconSet iconSet="3Symbols">
        <cfvo type="percent" val="0"/>
        <cfvo type="percent" val="33"/>
        <cfvo type="percent" val="67"/>
      </iconSet>
    </cfRule>
  </conditionalFormatting>
  <conditionalFormatting sqref="K122:L123 K2:L14 K44:L50 K63:L89 L56:L60 K16:L21 K23:L32 K34:L41 K106:L118 K52:L55">
    <cfRule type="colorScale" priority="270">
      <colorScale>
        <cfvo type="num" val="0"/>
        <cfvo type="num" val="1"/>
        <color rgb="FFF7ABAB"/>
        <color theme="9" tint="0.39997558519241921"/>
      </colorScale>
    </cfRule>
    <cfRule type="iconSet" priority="271">
      <iconSet iconSet="3Symbols">
        <cfvo type="percent" val="0"/>
        <cfvo type="num" val="0.33"/>
        <cfvo type="num" val="1"/>
      </iconSet>
    </cfRule>
  </conditionalFormatting>
  <conditionalFormatting sqref="K119:L120">
    <cfRule type="colorScale" priority="31">
      <colorScale>
        <cfvo type="num" val="0"/>
        <cfvo type="num" val="1"/>
        <color rgb="FFF7ABAB"/>
        <color theme="9" tint="0.39997558519241921"/>
      </colorScale>
    </cfRule>
    <cfRule type="iconSet" priority="32">
      <iconSet iconSet="3Symbols">
        <cfvo type="percent" val="0"/>
        <cfvo type="num" val="0.33"/>
        <cfvo type="num" val="1"/>
      </iconSet>
    </cfRule>
  </conditionalFormatting>
  <conditionalFormatting sqref="K121:L121">
    <cfRule type="colorScale" priority="29">
      <colorScale>
        <cfvo type="num" val="0"/>
        <cfvo type="num" val="1"/>
        <color rgb="FFF7ABAB"/>
        <color theme="9" tint="0.39997558519241921"/>
      </colorScale>
    </cfRule>
    <cfRule type="iconSet" priority="30">
      <iconSet iconSet="3Symbols">
        <cfvo type="percent" val="0"/>
        <cfvo type="num" val="0.33"/>
        <cfvo type="num" val="1"/>
      </iconSet>
    </cfRule>
  </conditionalFormatting>
  <conditionalFormatting sqref="K42:L43">
    <cfRule type="colorScale" priority="27">
      <colorScale>
        <cfvo type="num" val="0"/>
        <cfvo type="num" val="1"/>
        <color rgb="FFF7ABAB"/>
        <color theme="9" tint="0.39997558519241921"/>
      </colorScale>
    </cfRule>
    <cfRule type="iconSet" priority="28">
      <iconSet iconSet="3Symbols">
        <cfvo type="percent" val="0"/>
        <cfvo type="num" val="0.33"/>
        <cfvo type="num" val="1"/>
      </iconSet>
    </cfRule>
  </conditionalFormatting>
  <conditionalFormatting sqref="J15">
    <cfRule type="colorScale" priority="23">
      <colorScale>
        <cfvo type="num" val="0"/>
        <cfvo type="num" val="1"/>
        <color rgb="FFF7ABAB"/>
        <color theme="9" tint="0.59999389629810485"/>
      </colorScale>
    </cfRule>
  </conditionalFormatting>
  <conditionalFormatting sqref="J15">
    <cfRule type="iconSet" priority="24">
      <iconSet iconSet="3Symbols">
        <cfvo type="percent" val="0"/>
        <cfvo type="percent" val="33"/>
        <cfvo type="percent" val="67"/>
      </iconSet>
    </cfRule>
  </conditionalFormatting>
  <conditionalFormatting sqref="K15:L15">
    <cfRule type="colorScale" priority="25">
      <colorScale>
        <cfvo type="num" val="0"/>
        <cfvo type="num" val="1"/>
        <color rgb="FFF7ABAB"/>
        <color theme="9" tint="0.39997558519241921"/>
      </colorScale>
    </cfRule>
    <cfRule type="iconSet" priority="26">
      <iconSet iconSet="3Symbols">
        <cfvo type="percent" val="0"/>
        <cfvo type="num" val="0.33"/>
        <cfvo type="num" val="1"/>
      </iconSet>
    </cfRule>
  </conditionalFormatting>
  <conditionalFormatting sqref="J22">
    <cfRule type="colorScale" priority="19">
      <colorScale>
        <cfvo type="num" val="0"/>
        <cfvo type="num" val="1"/>
        <color rgb="FFF7ABAB"/>
        <color theme="9" tint="0.59999389629810485"/>
      </colorScale>
    </cfRule>
  </conditionalFormatting>
  <conditionalFormatting sqref="J22">
    <cfRule type="iconSet" priority="20">
      <iconSet iconSet="3Symbols">
        <cfvo type="percent" val="0"/>
        <cfvo type="percent" val="33"/>
        <cfvo type="percent" val="67"/>
      </iconSet>
    </cfRule>
  </conditionalFormatting>
  <conditionalFormatting sqref="K22:L22">
    <cfRule type="colorScale" priority="21">
      <colorScale>
        <cfvo type="num" val="0"/>
        <cfvo type="num" val="1"/>
        <color rgb="FFF7ABAB"/>
        <color theme="9" tint="0.39997558519241921"/>
      </colorScale>
    </cfRule>
    <cfRule type="iconSet" priority="22">
      <iconSet iconSet="3Symbols">
        <cfvo type="percent" val="0"/>
        <cfvo type="num" val="0.33"/>
        <cfvo type="num" val="1"/>
      </iconSet>
    </cfRule>
  </conditionalFormatting>
  <conditionalFormatting sqref="J33">
    <cfRule type="colorScale" priority="15">
      <colorScale>
        <cfvo type="num" val="0"/>
        <cfvo type="num" val="1"/>
        <color rgb="FFF7ABAB"/>
        <color theme="9" tint="0.59999389629810485"/>
      </colorScale>
    </cfRule>
  </conditionalFormatting>
  <conditionalFormatting sqref="J33">
    <cfRule type="iconSet" priority="16">
      <iconSet iconSet="3Symbols">
        <cfvo type="percent" val="0"/>
        <cfvo type="percent" val="33"/>
        <cfvo type="percent" val="67"/>
      </iconSet>
    </cfRule>
  </conditionalFormatting>
  <conditionalFormatting sqref="K33:L33">
    <cfRule type="colorScale" priority="17">
      <colorScale>
        <cfvo type="num" val="0"/>
        <cfvo type="num" val="1"/>
        <color rgb="FFF7ABAB"/>
        <color theme="9" tint="0.39997558519241921"/>
      </colorScale>
    </cfRule>
    <cfRule type="iconSet" priority="18">
      <iconSet iconSet="3Symbols">
        <cfvo type="percent" val="0"/>
        <cfvo type="num" val="0.33"/>
        <cfvo type="num" val="1"/>
      </iconSet>
    </cfRule>
  </conditionalFormatting>
  <conditionalFormatting sqref="J101:J102">
    <cfRule type="colorScale" priority="11">
      <colorScale>
        <cfvo type="num" val="0"/>
        <cfvo type="num" val="1"/>
        <color rgb="FFF7ABAB"/>
        <color theme="9" tint="0.59999389629810485"/>
      </colorScale>
    </cfRule>
  </conditionalFormatting>
  <conditionalFormatting sqref="J101:J102">
    <cfRule type="iconSet" priority="12">
      <iconSet iconSet="3Symbols">
        <cfvo type="percent" val="0"/>
        <cfvo type="percent" val="33"/>
        <cfvo type="percent" val="67"/>
      </iconSet>
    </cfRule>
  </conditionalFormatting>
  <conditionalFormatting sqref="J104">
    <cfRule type="colorScale" priority="9">
      <colorScale>
        <cfvo type="num" val="0"/>
        <cfvo type="num" val="1"/>
        <color rgb="FFF7ABAB"/>
        <color theme="9" tint="0.59999389629810485"/>
      </colorScale>
    </cfRule>
  </conditionalFormatting>
  <conditionalFormatting sqref="J104">
    <cfRule type="iconSet" priority="10">
      <iconSet iconSet="3Symbols">
        <cfvo type="percent" val="0"/>
        <cfvo type="percent" val="33"/>
        <cfvo type="percent" val="67"/>
      </iconSet>
    </cfRule>
  </conditionalFormatting>
  <conditionalFormatting sqref="J105">
    <cfRule type="colorScale" priority="7">
      <colorScale>
        <cfvo type="num" val="0"/>
        <cfvo type="num" val="1"/>
        <color rgb="FFF7ABAB"/>
        <color theme="9" tint="0.59999389629810485"/>
      </colorScale>
    </cfRule>
  </conditionalFormatting>
  <conditionalFormatting sqref="J105">
    <cfRule type="iconSet" priority="8">
      <iconSet iconSet="3Symbols">
        <cfvo type="percent" val="0"/>
        <cfvo type="percent" val="33"/>
        <cfvo type="percent" val="67"/>
      </iconSet>
    </cfRule>
  </conditionalFormatting>
  <conditionalFormatting sqref="J103">
    <cfRule type="colorScale" priority="5">
      <colorScale>
        <cfvo type="num" val="0"/>
        <cfvo type="num" val="1"/>
        <color rgb="FFF7ABAB"/>
        <color theme="9" tint="0.59999389629810485"/>
      </colorScale>
    </cfRule>
  </conditionalFormatting>
  <conditionalFormatting sqref="J103">
    <cfRule type="iconSet" priority="6">
      <iconSet iconSet="3Symbols">
        <cfvo type="percent" val="0"/>
        <cfvo type="percent" val="33"/>
        <cfvo type="percent" val="67"/>
      </iconSet>
    </cfRule>
  </conditionalFormatting>
  <conditionalFormatting sqref="K91:L105 L61 L90">
    <cfRule type="colorScale" priority="13">
      <colorScale>
        <cfvo type="num" val="0"/>
        <cfvo type="num" val="1"/>
        <color rgb="FFF7ABAB"/>
        <color theme="9" tint="0.39997558519241921"/>
      </colorScale>
    </cfRule>
    <cfRule type="iconSet" priority="14">
      <iconSet iconSet="3Symbols">
        <cfvo type="percent" val="0"/>
        <cfvo type="num" val="0.33"/>
        <cfvo type="num" val="1"/>
      </iconSet>
    </cfRule>
  </conditionalFormatting>
  <conditionalFormatting sqref="K51:L51">
    <cfRule type="colorScale" priority="3">
      <colorScale>
        <cfvo type="num" val="0"/>
        <cfvo type="num" val="1"/>
        <color rgb="FFF7ABAB"/>
        <color theme="9" tint="0.39997558519241921"/>
      </colorScale>
    </cfRule>
    <cfRule type="iconSet" priority="4">
      <iconSet iconSet="3Symbols">
        <cfvo type="percent" val="0"/>
        <cfvo type="num" val="0.33"/>
        <cfvo type="num" val="1"/>
      </iconSet>
    </cfRule>
  </conditionalFormatting>
  <conditionalFormatting sqref="L62">
    <cfRule type="colorScale" priority="1">
      <colorScale>
        <cfvo type="num" val="0"/>
        <cfvo type="num" val="1"/>
        <color rgb="FFF7ABAB"/>
        <color theme="9" tint="0.39997558519241921"/>
      </colorScale>
    </cfRule>
    <cfRule type="iconSet" priority="2">
      <iconSet iconSet="3Symbols">
        <cfvo type="percent" val="0"/>
        <cfvo type="num" val="0.33"/>
        <cfvo type="num" val="1"/>
      </iconSet>
    </cfRule>
  </conditionalFormatting>
  <pageMargins left="0.7" right="0.7" top="0.75" bottom="0.75" header="0.3" footer="0.3"/>
  <pageSetup paperSize="8" scale="4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M97"/>
  <sheetViews>
    <sheetView zoomScale="80" zoomScaleNormal="80" workbookViewId="0">
      <selection activeCell="D12" sqref="D12"/>
    </sheetView>
  </sheetViews>
  <sheetFormatPr defaultRowHeight="14.5" outlineLevelRow="1" outlineLevelCol="1" x14ac:dyDescent="0.35"/>
  <cols>
    <col min="1" max="1" width="4.453125" style="30" customWidth="1"/>
    <col min="2" max="2" width="8.7265625" style="3"/>
    <col min="3" max="3" width="48.08984375" style="3" bestFit="1" customWidth="1"/>
    <col min="4" max="4" width="52.6328125" style="473" customWidth="1"/>
    <col min="5" max="5" width="5.36328125" style="473" hidden="1" customWidth="1" outlineLevel="1"/>
    <col min="6" max="6" width="12.36328125" style="3" hidden="1" customWidth="1" outlineLevel="1"/>
    <col min="7" max="7" width="0" style="3" hidden="1" customWidth="1" outlineLevel="1"/>
    <col min="8" max="8" width="10.08984375" style="3" hidden="1" customWidth="1" outlineLevel="1"/>
    <col min="9" max="10" width="0" style="3" hidden="1" customWidth="1" outlineLevel="1"/>
    <col min="11" max="11" width="9.08984375" style="3" hidden="1" customWidth="1" outlineLevel="1"/>
    <col min="12" max="12" width="0" style="3" hidden="1" customWidth="1" outlineLevel="1"/>
    <col min="13" max="13" width="8.7265625" style="3" collapsed="1"/>
    <col min="14" max="16384" width="8.7265625" style="3"/>
  </cols>
  <sheetData>
    <row r="1" spans="2:13" s="30" customFormat="1" x14ac:dyDescent="0.35">
      <c r="D1" s="442"/>
      <c r="E1" s="442"/>
    </row>
    <row r="2" spans="2:13" ht="21" x14ac:dyDescent="0.5">
      <c r="B2" s="30"/>
      <c r="C2" s="81" t="s">
        <v>814</v>
      </c>
      <c r="D2" s="443"/>
      <c r="E2" s="443"/>
      <c r="F2" s="147"/>
      <c r="G2" s="147"/>
      <c r="H2" s="147"/>
      <c r="I2" s="147"/>
      <c r="J2" s="147"/>
      <c r="K2" s="147"/>
      <c r="L2" s="147"/>
      <c r="M2" s="147"/>
    </row>
    <row r="3" spans="2:13" ht="15" thickBot="1" x14ac:dyDescent="0.4">
      <c r="B3" s="30"/>
      <c r="C3" s="147"/>
      <c r="D3" s="443"/>
      <c r="E3" s="443"/>
      <c r="F3" s="147"/>
      <c r="G3" s="147"/>
      <c r="H3" s="147"/>
      <c r="I3" s="147"/>
      <c r="J3" s="147"/>
      <c r="K3" s="147"/>
      <c r="L3" s="147"/>
      <c r="M3" s="147"/>
    </row>
    <row r="4" spans="2:13" x14ac:dyDescent="0.35">
      <c r="B4" s="444"/>
      <c r="C4" s="445"/>
      <c r="D4" s="446"/>
      <c r="E4" s="446"/>
      <c r="F4" s="445"/>
      <c r="G4" s="445"/>
      <c r="H4" s="445"/>
      <c r="I4" s="445"/>
      <c r="J4" s="445"/>
      <c r="K4" s="445"/>
      <c r="L4" s="445"/>
      <c r="M4" s="447"/>
    </row>
    <row r="5" spans="2:13" ht="21" x14ac:dyDescent="0.5">
      <c r="B5" s="448"/>
      <c r="C5" s="449" t="s">
        <v>1144</v>
      </c>
      <c r="D5" s="450"/>
      <c r="E5" s="450"/>
      <c r="F5" s="451"/>
      <c r="G5" s="451"/>
      <c r="H5" s="451"/>
      <c r="I5" s="451"/>
      <c r="J5" s="451"/>
      <c r="K5" s="451"/>
      <c r="L5" s="451"/>
      <c r="M5" s="452"/>
    </row>
    <row r="6" spans="2:13" x14ac:dyDescent="0.35">
      <c r="B6" s="448"/>
      <c r="C6" s="453" t="s">
        <v>1145</v>
      </c>
      <c r="D6" s="450"/>
      <c r="E6" s="450"/>
      <c r="F6" s="453" t="s">
        <v>1146</v>
      </c>
      <c r="G6" s="451"/>
      <c r="H6" s="451"/>
      <c r="I6" s="451"/>
      <c r="J6" s="451"/>
      <c r="K6" s="451"/>
      <c r="L6" s="451"/>
      <c r="M6" s="452"/>
    </row>
    <row r="7" spans="2:13" ht="17.5" customHeight="1" thickBot="1" x14ac:dyDescent="0.4">
      <c r="B7" s="448"/>
      <c r="C7" s="454" t="str">
        <f>'Building Information'!C7</f>
        <v>Name</v>
      </c>
      <c r="D7" s="455" t="str">
        <f>'Building Information'!G7</f>
        <v>Risto Kosonen</v>
      </c>
      <c r="E7" s="455"/>
      <c r="F7" s="455"/>
      <c r="G7" s="455"/>
      <c r="H7" s="455"/>
      <c r="I7" s="455"/>
      <c r="J7" s="455"/>
      <c r="K7" s="455"/>
      <c r="L7" s="455"/>
      <c r="M7" s="452"/>
    </row>
    <row r="8" spans="2:13" ht="15" customHeight="1" thickBot="1" x14ac:dyDescent="0.4">
      <c r="B8" s="448"/>
      <c r="C8" s="454" t="str">
        <f>'Building Information'!C8</f>
        <v>Organisation</v>
      </c>
      <c r="D8" s="455" t="str">
        <f>'Building Information'!G8</f>
        <v>Aalto U</v>
      </c>
      <c r="E8" s="455"/>
      <c r="F8" s="456" t="s">
        <v>1147</v>
      </c>
      <c r="G8" s="456" t="s">
        <v>1148</v>
      </c>
      <c r="H8" s="456" t="s">
        <v>1149</v>
      </c>
      <c r="I8" s="456" t="s">
        <v>1150</v>
      </c>
      <c r="J8" s="456" t="s">
        <v>1151</v>
      </c>
      <c r="K8" s="456" t="s">
        <v>1152</v>
      </c>
      <c r="L8" s="456" t="s">
        <v>1153</v>
      </c>
      <c r="M8" s="452"/>
    </row>
    <row r="9" spans="2:13" ht="15" thickBot="1" x14ac:dyDescent="0.4">
      <c r="B9" s="448"/>
      <c r="C9" s="454" t="str">
        <f>'Building Information'!C11</f>
        <v>e-mail address</v>
      </c>
      <c r="D9" s="455">
        <f>'Building Information'!G11</f>
        <v>0</v>
      </c>
      <c r="E9" s="455" t="s">
        <v>1170</v>
      </c>
      <c r="F9" s="457">
        <f ca="1">INDIRECT(ADDRESS('Calculation Sheet'!$AR$6,'Calculation Sheet'!AS2,1,,"Weightings"))</f>
        <v>0.31063256064616018</v>
      </c>
      <c r="G9" s="457">
        <f ca="1">INDIRECT(ADDRESS('Calculation Sheet'!$AR$6,'Calculation Sheet'!AT2,1,,"Weightings"))</f>
        <v>0.28992372326974952</v>
      </c>
      <c r="H9" s="457">
        <f ca="1">INDIRECT(ADDRESS('Calculation Sheet'!$AR$6,'Calculation Sheet'!AU2,1,,"Weightings"))</f>
        <v>0.13333333333333333</v>
      </c>
      <c r="I9" s="457">
        <f ca="1">INDIRECT(ADDRESS('Calculation Sheet'!$AR$6,'Calculation Sheet'!AV2,1,,"Weightings"))</f>
        <v>0.1</v>
      </c>
      <c r="J9" s="457">
        <f ca="1">INDIRECT(ADDRESS('Calculation Sheet'!$AR$6,'Calculation Sheet'!AW2,1,,"Weightings"))</f>
        <v>0</v>
      </c>
      <c r="K9" s="457">
        <f ca="1">INDIRECT(ADDRESS('Calculation Sheet'!$AR$6,'Calculation Sheet'!AX2,1,,"Weightings"))</f>
        <v>0.31063256064616018</v>
      </c>
      <c r="L9" s="457">
        <f ca="1">INDIRECT(ADDRESS('Calculation Sheet'!$AR$6,'Calculation Sheet'!AY2,1,,"Weightings"))</f>
        <v>0.1142857142857143</v>
      </c>
      <c r="M9" s="452"/>
    </row>
    <row r="10" spans="2:13" ht="15" thickBot="1" x14ac:dyDescent="0.4">
      <c r="B10" s="448"/>
      <c r="C10" s="454" t="str">
        <f>'Building Information'!C12</f>
        <v>telephone number (optional)</v>
      </c>
      <c r="D10" s="455">
        <f>'Building Information'!G12</f>
        <v>0</v>
      </c>
      <c r="E10" s="455" t="s">
        <v>927</v>
      </c>
      <c r="F10" s="457">
        <f ca="1">INDIRECT(ADDRESS('Calculation Sheet'!$AR$18,'Calculation Sheet'!AS2,1,,"Weightings"))</f>
        <v>5.4430404220184914E-2</v>
      </c>
      <c r="G10" s="457">
        <f ca="1">INDIRECT(ADDRESS('Calculation Sheet'!$AR$18,'Calculation Sheet'!AT2,1,,"Weightings"))</f>
        <v>5.0801710605505909E-2</v>
      </c>
      <c r="H10" s="457">
        <f ca="1">INDIRECT(ADDRESS('Calculation Sheet'!$AR$18,'Calculation Sheet'!AU2,1,,"Weightings"))</f>
        <v>0.13333333333333333</v>
      </c>
      <c r="I10" s="457">
        <f ca="1">INDIRECT(ADDRESS('Calculation Sheet'!$AR$18,'Calculation Sheet'!AV2,1,,"Weightings"))</f>
        <v>0.1</v>
      </c>
      <c r="J10" s="457">
        <f ca="1">INDIRECT(ADDRESS('Calculation Sheet'!$AR$18,'Calculation Sheet'!AW2,1,,"Weightings"))</f>
        <v>0</v>
      </c>
      <c r="K10" s="457">
        <f ca="1">INDIRECT(ADDRESS('Calculation Sheet'!$AR$18,'Calculation Sheet'!AX2,1,,"Weightings"))</f>
        <v>5.4430404220184914E-2</v>
      </c>
      <c r="L10" s="457">
        <f ca="1">INDIRECT(ADDRESS('Calculation Sheet'!$AR$18,'Calculation Sheet'!AY2,1,,"Weightings"))</f>
        <v>0.1142857142857143</v>
      </c>
      <c r="M10" s="452"/>
    </row>
    <row r="11" spans="2:13" ht="15" thickBot="1" x14ac:dyDescent="0.4">
      <c r="B11" s="448"/>
      <c r="C11" s="454" t="str">
        <f>'Building Information'!C18</f>
        <v>Building type</v>
      </c>
      <c r="D11" s="455" t="str">
        <f>'Building Information'!G18</f>
        <v>non_residential</v>
      </c>
      <c r="E11" s="455" t="s">
        <v>1172</v>
      </c>
      <c r="F11" s="457">
        <f ca="1">INDIRECT(ADDRESS('Calculation Sheet'!$AR$22,'Calculation Sheet'!AS2,1,,"Weightings"))</f>
        <v>9.3403132610521883E-2</v>
      </c>
      <c r="G11" s="457">
        <f ca="1">INDIRECT(ADDRESS('Calculation Sheet'!$AR$22,'Calculation Sheet'!AT2,1,,"Weightings"))</f>
        <v>8.7176257103153743E-2</v>
      </c>
      <c r="H11" s="457">
        <f ca="1">INDIRECT(ADDRESS('Calculation Sheet'!$AR$22,'Calculation Sheet'!AU2,1,,"Weightings"))</f>
        <v>0.13333333333333333</v>
      </c>
      <c r="I11" s="457">
        <f ca="1">INDIRECT(ADDRESS('Calculation Sheet'!$AR$22,'Calculation Sheet'!AV2,1,,"Weightings"))</f>
        <v>0.1</v>
      </c>
      <c r="J11" s="457">
        <f ca="1">INDIRECT(ADDRESS('Calculation Sheet'!$AR$22,'Calculation Sheet'!AW2,1,,"Weightings"))</f>
        <v>0</v>
      </c>
      <c r="K11" s="457">
        <f ca="1">INDIRECT(ADDRESS('Calculation Sheet'!$AR$22,'Calculation Sheet'!AX2,1,,"Weightings"))</f>
        <v>9.3403132610521883E-2</v>
      </c>
      <c r="L11" s="457">
        <f ca="1">INDIRECT(ADDRESS('Calculation Sheet'!$AR$22,'Calculation Sheet'!AY2,1,,"Weightings"))</f>
        <v>0.1142857142857143</v>
      </c>
      <c r="M11" s="452"/>
    </row>
    <row r="12" spans="2:13" ht="15" thickBot="1" x14ac:dyDescent="0.4">
      <c r="B12" s="448"/>
      <c r="C12" s="454" t="str">
        <f>'Building Information'!C19</f>
        <v>Building usage</v>
      </c>
      <c r="D12" s="455" t="str">
        <f>'Building Information'!G19</f>
        <v>educational</v>
      </c>
      <c r="E12" s="455" t="s">
        <v>1171</v>
      </c>
      <c r="F12" s="457">
        <f ca="1">INDIRECT(ADDRESS('Calculation Sheet'!$AR$32,'Calculation Sheet'!AS2,1,,"Weightings"))</f>
        <v>0.19459441427144347</v>
      </c>
      <c r="G12" s="457">
        <f ca="1">INDIRECT(ADDRESS('Calculation Sheet'!$AR$32,'Calculation Sheet'!AT2,1,,"Weightings"))</f>
        <v>0.18162145332001389</v>
      </c>
      <c r="H12" s="457">
        <f ca="1">INDIRECT(ADDRESS('Calculation Sheet'!$AR$32,'Calculation Sheet'!AU2,1,,"Weightings"))</f>
        <v>0.13333333333333333</v>
      </c>
      <c r="I12" s="457">
        <f ca="1">INDIRECT(ADDRESS('Calculation Sheet'!$AR$32,'Calculation Sheet'!AV2,1,,"Weightings"))</f>
        <v>0.1</v>
      </c>
      <c r="J12" s="457">
        <f ca="1">INDIRECT(ADDRESS('Calculation Sheet'!$AR$32,'Calculation Sheet'!AW2,1,,"Weightings"))</f>
        <v>0.4</v>
      </c>
      <c r="K12" s="457">
        <f ca="1">INDIRECT(ADDRESS('Calculation Sheet'!$AR$32,'Calculation Sheet'!AX2,1,,"Weightings"))</f>
        <v>0.19459441427144347</v>
      </c>
      <c r="L12" s="457">
        <f ca="1">INDIRECT(ADDRESS('Calculation Sheet'!$AR$32,'Calculation Sheet'!AY2,1,,"Weightings"))</f>
        <v>0.1142857142857143</v>
      </c>
      <c r="M12" s="452"/>
    </row>
    <row r="13" spans="2:13" ht="15" thickBot="1" x14ac:dyDescent="0.4">
      <c r="B13" s="448"/>
      <c r="C13" s="454" t="str">
        <f>'Building Information'!C20</f>
        <v>Location</v>
      </c>
      <c r="D13" s="455" t="str">
        <f>'Building Information'!G20</f>
        <v>Finland</v>
      </c>
      <c r="E13" s="455" t="s">
        <v>1173</v>
      </c>
      <c r="F13" s="457">
        <f ca="1">INDIRECT(ADDRESS('Calculation Sheet'!$AR$40,'Calculation Sheet'!AS2,1,,"Weightings"))</f>
        <v>8.0761912526481877E-2</v>
      </c>
      <c r="G13" s="457">
        <f ca="1">INDIRECT(ADDRESS('Calculation Sheet'!$AR$40,'Calculation Sheet'!AT2,1,,"Weightings"))</f>
        <v>7.5377785024716412E-2</v>
      </c>
      <c r="H13" s="457">
        <f ca="1">INDIRECT(ADDRESS('Calculation Sheet'!$AR$40,'Calculation Sheet'!AU2,1,,"Weightings"))</f>
        <v>0.13333333333333333</v>
      </c>
      <c r="I13" s="457">
        <f ca="1">INDIRECT(ADDRESS('Calculation Sheet'!$AR$40,'Calculation Sheet'!AV2,1,,"Weightings"))</f>
        <v>0.1</v>
      </c>
      <c r="J13" s="457">
        <f ca="1">INDIRECT(ADDRESS('Calculation Sheet'!$AR$40,'Calculation Sheet'!AW2,1,,"Weightings"))</f>
        <v>0</v>
      </c>
      <c r="K13" s="457">
        <f ca="1">INDIRECT(ADDRESS('Calculation Sheet'!$AR$40,'Calculation Sheet'!AX2,1,,"Weightings"))</f>
        <v>8.0761912526481877E-2</v>
      </c>
      <c r="L13" s="457">
        <f ca="1">INDIRECT(ADDRESS('Calculation Sheet'!$AR$40,'Calculation Sheet'!AY2,1,,"Weightings"))</f>
        <v>0</v>
      </c>
      <c r="M13" s="452"/>
    </row>
    <row r="14" spans="2:13" ht="15" thickBot="1" x14ac:dyDescent="0.4">
      <c r="B14" s="448"/>
      <c r="C14" s="454" t="str">
        <f>'Building Information'!C21</f>
        <v>climate zone:</v>
      </c>
      <c r="D14" s="455" t="str">
        <f>'Building Information'!G21</f>
        <v>North Europe</v>
      </c>
      <c r="E14" s="455" t="s">
        <v>919</v>
      </c>
      <c r="F14" s="457">
        <f ca="1">INDIRECT(ADDRESS('Calculation Sheet'!$AR$42,'Calculation Sheet'!AS2,1,,"Weightings"))</f>
        <v>0.05</v>
      </c>
      <c r="G14" s="457">
        <f ca="1">INDIRECT(ADDRESS('Calculation Sheet'!$AR$42,'Calculation Sheet'!AT2,1,,"Weightings"))</f>
        <v>0.05</v>
      </c>
      <c r="H14" s="457">
        <f ca="1">INDIRECT(ADDRESS('Calculation Sheet'!$AR$42,'Calculation Sheet'!AU2,1,,"Weightings"))</f>
        <v>0.13333333333333333</v>
      </c>
      <c r="I14" s="457">
        <f ca="1">INDIRECT(ADDRESS('Calculation Sheet'!$AR$42,'Calculation Sheet'!AV2,1,,"Weightings"))</f>
        <v>0.1</v>
      </c>
      <c r="J14" s="457">
        <f ca="1">INDIRECT(ADDRESS('Calculation Sheet'!$AR$42,'Calculation Sheet'!AW2,1,,"Weightings"))</f>
        <v>0.4</v>
      </c>
      <c r="K14" s="457">
        <f ca="1">INDIRECT(ADDRESS('Calculation Sheet'!$AR$42,'Calculation Sheet'!AX2,1,,"Weightings"))</f>
        <v>0.05</v>
      </c>
      <c r="L14" s="457">
        <f ca="1">INDIRECT(ADDRESS('Calculation Sheet'!$AR$42,'Calculation Sheet'!AY2,1,,"Weightings"))</f>
        <v>0.1142857142857143</v>
      </c>
      <c r="M14" s="452"/>
    </row>
    <row r="15" spans="2:13" ht="15" thickBot="1" x14ac:dyDescent="0.4">
      <c r="B15" s="448"/>
      <c r="C15" s="454" t="str">
        <f>'Building Information'!C23</f>
        <v>Net floor area of the building</v>
      </c>
      <c r="D15" s="455">
        <f>'Building Information'!G23</f>
        <v>0</v>
      </c>
      <c r="E15" s="455" t="s">
        <v>1174</v>
      </c>
      <c r="F15" s="457">
        <f ca="1">INDIRECT(ADDRESS('Calculation Sheet'!$AR$45,'Calculation Sheet'!AS2,1,,"Weightings"))</f>
        <v>1.6177575725207723E-2</v>
      </c>
      <c r="G15" s="457">
        <f ca="1">INDIRECT(ADDRESS('Calculation Sheet'!$AR$45,'Calculation Sheet'!AT2,1,,"Weightings"))</f>
        <v>1.5099070676860539E-2</v>
      </c>
      <c r="H15" s="457">
        <f ca="1">INDIRECT(ADDRESS('Calculation Sheet'!$AR$45,'Calculation Sheet'!AU2,1,,"Weightings"))</f>
        <v>0</v>
      </c>
      <c r="I15" s="457">
        <f ca="1">INDIRECT(ADDRESS('Calculation Sheet'!$AR$45,'Calculation Sheet'!AV2,1,,"Weightings"))</f>
        <v>0.1</v>
      </c>
      <c r="J15" s="457">
        <f ca="1">INDIRECT(ADDRESS('Calculation Sheet'!$AR$45,'Calculation Sheet'!AW2,1,,"Weightings"))</f>
        <v>0</v>
      </c>
      <c r="K15" s="457">
        <f ca="1">INDIRECT(ADDRESS('Calculation Sheet'!$AR$45,'Calculation Sheet'!AX2,1,,"Weightings"))</f>
        <v>1.6177575725207723E-2</v>
      </c>
      <c r="L15" s="457">
        <f ca="1">INDIRECT(ADDRESS('Calculation Sheet'!$AR$45,'Calculation Sheet'!AY2,1,,"Weightings"))</f>
        <v>0.1142857142857143</v>
      </c>
      <c r="M15" s="452"/>
    </row>
    <row r="16" spans="2:13" ht="15" thickBot="1" x14ac:dyDescent="0.4">
      <c r="B16" s="448"/>
      <c r="C16" s="454" t="str">
        <f>'Building Information'!C24</f>
        <v>Year of construction</v>
      </c>
      <c r="D16" s="455">
        <f>'Building Information'!G24</f>
        <v>0</v>
      </c>
      <c r="E16" s="455" t="s">
        <v>898</v>
      </c>
      <c r="F16" s="457">
        <f ca="1">INDIRECT(ADDRESS('Calculation Sheet'!$AR$50,'Calculation Sheet'!AS2,1,,"Weightings"))</f>
        <v>0</v>
      </c>
      <c r="G16" s="457">
        <f ca="1">INDIRECT(ADDRESS('Calculation Sheet'!$AR$50,'Calculation Sheet'!AT2,1,,"Weightings"))</f>
        <v>0.05</v>
      </c>
      <c r="H16" s="457">
        <f ca="1">INDIRECT(ADDRESS('Calculation Sheet'!$AR$50,'Calculation Sheet'!AU2,1,,"Weightings"))</f>
        <v>0</v>
      </c>
      <c r="I16" s="457">
        <f ca="1">INDIRECT(ADDRESS('Calculation Sheet'!$AR$50,'Calculation Sheet'!AV2,1,,"Weightings"))</f>
        <v>0.1</v>
      </c>
      <c r="J16" s="457">
        <f ca="1">INDIRECT(ADDRESS('Calculation Sheet'!$AR$50,'Calculation Sheet'!AW2,1,,"Weightings"))</f>
        <v>0</v>
      </c>
      <c r="K16" s="457">
        <f ca="1">INDIRECT(ADDRESS('Calculation Sheet'!$AR$50,'Calculation Sheet'!AX2,1,,"Weightings"))</f>
        <v>0</v>
      </c>
      <c r="L16" s="457">
        <f ca="1">INDIRECT(ADDRESS('Calculation Sheet'!$AR$50,'Calculation Sheet'!AY2,1,,"Weightings"))</f>
        <v>0.1142857142857143</v>
      </c>
      <c r="M16" s="452"/>
    </row>
    <row r="17" spans="2:13" x14ac:dyDescent="0.35">
      <c r="B17" s="448"/>
      <c r="C17" s="454" t="str">
        <f>'Building Information'!C25</f>
        <v>Building state</v>
      </c>
      <c r="D17" s="455">
        <f>'Building Information'!G25</f>
        <v>0</v>
      </c>
      <c r="E17" s="455" t="s">
        <v>920</v>
      </c>
      <c r="F17" s="457">
        <f ca="1">INDIRECT(ADDRESS('Calculation Sheet'!$AR$53,'Calculation Sheet'!AS2,1,,"Weightings"))</f>
        <v>0.2</v>
      </c>
      <c r="G17" s="457">
        <f ca="1">INDIRECT(ADDRESS('Calculation Sheet'!$AR$53,'Calculation Sheet'!AT2,1,,"Weightings"))</f>
        <v>0.2</v>
      </c>
      <c r="H17" s="457">
        <f ca="1">INDIRECT(ADDRESS('Calculation Sheet'!$AR$53,'Calculation Sheet'!AU2,1,,"Weightings"))</f>
        <v>0.2</v>
      </c>
      <c r="I17" s="457">
        <f ca="1">INDIRECT(ADDRESS('Calculation Sheet'!$AR$53,'Calculation Sheet'!AV2,1,,"Weightings"))</f>
        <v>0.2</v>
      </c>
      <c r="J17" s="457">
        <f ca="1">INDIRECT(ADDRESS('Calculation Sheet'!$AR$53,'Calculation Sheet'!AW2,1,,"Weightings"))</f>
        <v>0.2</v>
      </c>
      <c r="K17" s="457">
        <f ca="1">INDIRECT(ADDRESS('Calculation Sheet'!$AR$53,'Calculation Sheet'!AX2,1,,"Weightings"))</f>
        <v>0.2</v>
      </c>
      <c r="L17" s="457">
        <f ca="1">INDIRECT(ADDRESS('Calculation Sheet'!$AR$53,'Calculation Sheet'!AY2,1,,"Weightings"))</f>
        <v>0.2</v>
      </c>
      <c r="M17" s="452"/>
    </row>
    <row r="18" spans="2:13" x14ac:dyDescent="0.35">
      <c r="B18" s="448"/>
      <c r="C18" s="454" t="str">
        <f>'Building Information'!C33:E33</f>
        <v>Preferred weightings</v>
      </c>
      <c r="D18" s="455" t="str">
        <f>'Building Information'!G33</f>
        <v>Default</v>
      </c>
      <c r="E18" s="455"/>
      <c r="F18" s="451"/>
      <c r="G18" s="451"/>
      <c r="H18" s="458"/>
      <c r="I18" s="451"/>
      <c r="J18" s="458"/>
      <c r="K18" s="458"/>
      <c r="L18" s="458"/>
      <c r="M18" s="452"/>
    </row>
    <row r="19" spans="2:13" x14ac:dyDescent="0.35">
      <c r="B19" s="448"/>
      <c r="C19" s="454" t="s">
        <v>1154</v>
      </c>
      <c r="D19" s="459">
        <f ca="1">'Calculation Sheet'!DF4</f>
        <v>0.6722675785907708</v>
      </c>
      <c r="E19" s="459"/>
      <c r="F19" s="451"/>
      <c r="G19" s="451"/>
      <c r="H19" s="458"/>
      <c r="I19" s="451"/>
      <c r="J19" s="458"/>
      <c r="K19" s="458"/>
      <c r="L19" s="458"/>
      <c r="M19" s="452"/>
    </row>
    <row r="20" spans="2:13" x14ac:dyDescent="0.35">
      <c r="B20" s="448"/>
      <c r="C20" s="454"/>
      <c r="D20" s="459"/>
      <c r="E20" s="459"/>
      <c r="F20" s="451"/>
      <c r="G20" s="451"/>
      <c r="H20" s="458"/>
      <c r="I20" s="451"/>
      <c r="J20" s="458"/>
      <c r="K20" s="458"/>
      <c r="L20" s="458"/>
      <c r="M20" s="452"/>
    </row>
    <row r="21" spans="2:13" x14ac:dyDescent="0.35">
      <c r="B21" s="448"/>
      <c r="C21" s="454"/>
      <c r="D21" s="455"/>
      <c r="E21" s="455"/>
      <c r="F21" s="451"/>
      <c r="G21" s="451"/>
      <c r="H21" s="458"/>
      <c r="I21" s="451"/>
      <c r="J21" s="458"/>
      <c r="K21" s="458"/>
      <c r="L21" s="458"/>
      <c r="M21" s="452"/>
    </row>
    <row r="22" spans="2:13" ht="34.5" customHeight="1" x14ac:dyDescent="0.35">
      <c r="B22" s="448"/>
      <c r="C22" s="568" t="s">
        <v>1155</v>
      </c>
      <c r="D22" s="568"/>
      <c r="E22" s="460"/>
      <c r="F22" s="451"/>
      <c r="G22" s="451"/>
      <c r="H22" s="458"/>
      <c r="I22" s="451"/>
      <c r="J22" s="458"/>
      <c r="K22" s="458"/>
      <c r="L22" s="458"/>
      <c r="M22" s="452"/>
    </row>
    <row r="23" spans="2:13" x14ac:dyDescent="0.35">
      <c r="B23" s="448"/>
      <c r="C23" s="460"/>
      <c r="D23" s="461"/>
      <c r="E23" s="461"/>
      <c r="F23" s="451"/>
      <c r="G23" s="451"/>
      <c r="H23" s="458"/>
      <c r="I23" s="451"/>
      <c r="J23" s="458"/>
      <c r="K23" s="458"/>
      <c r="L23" s="458"/>
      <c r="M23" s="452"/>
    </row>
    <row r="24" spans="2:13" ht="58" customHeight="1" x14ac:dyDescent="0.35">
      <c r="B24" s="448"/>
      <c r="C24" s="462" t="s">
        <v>1156</v>
      </c>
      <c r="D24" s="463"/>
      <c r="E24" s="461"/>
      <c r="F24" s="451"/>
      <c r="G24" s="451"/>
      <c r="H24" s="458"/>
      <c r="I24" s="451"/>
      <c r="J24" s="458"/>
      <c r="K24" s="458"/>
      <c r="L24" s="458"/>
      <c r="M24" s="452"/>
    </row>
    <row r="25" spans="2:13" ht="7.5" customHeight="1" x14ac:dyDescent="0.35">
      <c r="B25" s="448"/>
      <c r="C25" s="464"/>
      <c r="D25" s="465"/>
      <c r="E25" s="461"/>
      <c r="F25" s="451"/>
      <c r="G25" s="451"/>
      <c r="H25" s="458"/>
      <c r="I25" s="451"/>
      <c r="J25" s="458"/>
      <c r="K25" s="458"/>
      <c r="L25" s="458"/>
      <c r="M25" s="452"/>
    </row>
    <row r="26" spans="2:13" ht="19" customHeight="1" x14ac:dyDescent="0.35">
      <c r="B26" s="448"/>
      <c r="C26" s="466" t="s">
        <v>1157</v>
      </c>
      <c r="D26" s="463"/>
      <c r="E26" s="461"/>
      <c r="F26" s="451"/>
      <c r="G26" s="451"/>
      <c r="H26" s="458"/>
      <c r="I26" s="451"/>
      <c r="J26" s="458"/>
      <c r="K26" s="458"/>
      <c r="L26" s="458"/>
      <c r="M26" s="452"/>
    </row>
    <row r="27" spans="2:13" ht="7.5" customHeight="1" x14ac:dyDescent="0.35">
      <c r="B27" s="448"/>
      <c r="C27" s="464"/>
      <c r="D27" s="465"/>
      <c r="E27" s="461"/>
      <c r="F27" s="451"/>
      <c r="G27" s="451"/>
      <c r="H27" s="458"/>
      <c r="I27" s="451"/>
      <c r="J27" s="458"/>
      <c r="K27" s="458"/>
      <c r="L27" s="458"/>
      <c r="M27" s="452"/>
    </row>
    <row r="28" spans="2:13" ht="57" customHeight="1" x14ac:dyDescent="0.35">
      <c r="B28" s="448"/>
      <c r="C28" s="467" t="s">
        <v>1158</v>
      </c>
      <c r="D28" s="463"/>
      <c r="E28" s="461"/>
      <c r="F28" s="451"/>
      <c r="G28" s="451"/>
      <c r="H28" s="458"/>
      <c r="I28" s="451"/>
      <c r="J28" s="458"/>
      <c r="K28" s="458"/>
      <c r="L28" s="458"/>
      <c r="M28" s="452"/>
    </row>
    <row r="29" spans="2:13" ht="7.5" customHeight="1" x14ac:dyDescent="0.35">
      <c r="B29" s="448"/>
      <c r="C29" s="464"/>
      <c r="D29" s="465"/>
      <c r="E29" s="461"/>
      <c r="F29" s="451"/>
      <c r="G29" s="451"/>
      <c r="H29" s="458"/>
      <c r="I29" s="451"/>
      <c r="J29" s="458"/>
      <c r="K29" s="458"/>
      <c r="L29" s="458"/>
      <c r="M29" s="452"/>
    </row>
    <row r="30" spans="2:13" ht="57" customHeight="1" x14ac:dyDescent="0.35">
      <c r="B30" s="448"/>
      <c r="C30" s="467" t="s">
        <v>1159</v>
      </c>
      <c r="D30" s="463"/>
      <c r="E30" s="461"/>
      <c r="F30" s="451"/>
      <c r="G30" s="451"/>
      <c r="H30" s="458"/>
      <c r="I30" s="451"/>
      <c r="J30" s="458"/>
      <c r="K30" s="458"/>
      <c r="L30" s="458"/>
      <c r="M30" s="452"/>
    </row>
    <row r="31" spans="2:13" ht="7.5" customHeight="1" x14ac:dyDescent="0.35">
      <c r="B31" s="448"/>
      <c r="C31" s="464"/>
      <c r="D31" s="465"/>
      <c r="E31" s="455"/>
      <c r="F31" s="451"/>
      <c r="G31" s="451"/>
      <c r="H31" s="458"/>
      <c r="I31" s="451"/>
      <c r="J31" s="458"/>
      <c r="K31" s="458"/>
      <c r="L31" s="458"/>
      <c r="M31" s="452"/>
    </row>
    <row r="32" spans="2:13" ht="57" customHeight="1" x14ac:dyDescent="0.35">
      <c r="B32" s="448"/>
      <c r="C32" s="462" t="s">
        <v>1160</v>
      </c>
      <c r="D32" s="468"/>
      <c r="E32" s="455"/>
      <c r="F32" s="451"/>
      <c r="G32" s="451"/>
      <c r="H32" s="458"/>
      <c r="I32" s="451"/>
      <c r="J32" s="458"/>
      <c r="K32" s="458"/>
      <c r="L32" s="458"/>
      <c r="M32" s="452"/>
    </row>
    <row r="33" spans="2:13" ht="7.5" customHeight="1" x14ac:dyDescent="0.35">
      <c r="B33" s="448"/>
      <c r="C33" s="464"/>
      <c r="D33" s="465"/>
      <c r="E33" s="455"/>
      <c r="F33" s="451"/>
      <c r="G33" s="451"/>
      <c r="H33" s="458"/>
      <c r="I33" s="451"/>
      <c r="J33" s="458"/>
      <c r="K33" s="458"/>
      <c r="L33" s="458"/>
      <c r="M33" s="452"/>
    </row>
    <row r="34" spans="2:13" ht="57" customHeight="1" x14ac:dyDescent="0.35">
      <c r="B34" s="448"/>
      <c r="C34" s="462" t="s">
        <v>1161</v>
      </c>
      <c r="D34" s="463"/>
      <c r="E34" s="455"/>
      <c r="F34" s="451"/>
      <c r="G34" s="451"/>
      <c r="H34" s="458"/>
      <c r="I34" s="451"/>
      <c r="J34" s="458"/>
      <c r="K34" s="458"/>
      <c r="L34" s="458"/>
      <c r="M34" s="452"/>
    </row>
    <row r="35" spans="2:13" ht="7.5" customHeight="1" x14ac:dyDescent="0.35">
      <c r="B35" s="448"/>
      <c r="C35" s="464"/>
      <c r="D35" s="465"/>
      <c r="E35" s="455"/>
      <c r="F35" s="451"/>
      <c r="G35" s="451"/>
      <c r="H35" s="458"/>
      <c r="I35" s="451"/>
      <c r="J35" s="458"/>
      <c r="K35" s="458"/>
      <c r="L35" s="458"/>
      <c r="M35" s="452"/>
    </row>
    <row r="36" spans="2:13" ht="57" customHeight="1" x14ac:dyDescent="0.35">
      <c r="B36" s="448"/>
      <c r="C36" s="462" t="s">
        <v>1162</v>
      </c>
      <c r="D36" s="463"/>
      <c r="E36" s="455"/>
      <c r="F36" s="465"/>
      <c r="G36" s="465"/>
      <c r="H36" s="465"/>
      <c r="I36" s="465"/>
      <c r="J36" s="465"/>
      <c r="K36" s="465"/>
      <c r="L36" s="465"/>
      <c r="M36" s="452"/>
    </row>
    <row r="37" spans="2:13" ht="7.5" customHeight="1" x14ac:dyDescent="0.35">
      <c r="B37" s="448"/>
      <c r="C37" s="464"/>
      <c r="D37" s="465"/>
      <c r="E37" s="455"/>
      <c r="F37" s="465"/>
      <c r="G37" s="465"/>
      <c r="H37" s="465"/>
      <c r="I37" s="465"/>
      <c r="J37" s="465"/>
      <c r="K37" s="465"/>
      <c r="L37" s="465"/>
      <c r="M37" s="452"/>
    </row>
    <row r="38" spans="2:13" ht="57" customHeight="1" x14ac:dyDescent="0.35">
      <c r="B38" s="448"/>
      <c r="C38" s="462" t="s">
        <v>1163</v>
      </c>
      <c r="D38" s="463"/>
      <c r="E38" s="455"/>
      <c r="F38" s="465"/>
      <c r="G38" s="465"/>
      <c r="H38" s="465"/>
      <c r="I38" s="465"/>
      <c r="J38" s="465"/>
      <c r="K38" s="465"/>
      <c r="L38" s="465"/>
      <c r="M38" s="452"/>
    </row>
    <row r="39" spans="2:13" x14ac:dyDescent="0.35">
      <c r="B39" s="448"/>
      <c r="C39" s="454"/>
      <c r="D39" s="455"/>
      <c r="E39" s="455"/>
      <c r="F39" s="465"/>
      <c r="G39" s="465"/>
      <c r="H39" s="465"/>
      <c r="I39" s="465"/>
      <c r="J39" s="465"/>
      <c r="K39" s="465"/>
      <c r="L39" s="465"/>
      <c r="M39" s="452"/>
    </row>
    <row r="40" spans="2:13" x14ac:dyDescent="0.35">
      <c r="B40" s="448"/>
      <c r="C40" s="454"/>
      <c r="D40" s="455"/>
      <c r="E40" s="455"/>
      <c r="F40" s="455"/>
      <c r="G40" s="455"/>
      <c r="H40" s="455"/>
      <c r="I40" s="455"/>
      <c r="J40" s="455"/>
      <c r="K40" s="455"/>
      <c r="L40" s="455"/>
      <c r="M40" s="452"/>
    </row>
    <row r="41" spans="2:13" hidden="1" outlineLevel="1" x14ac:dyDescent="0.35">
      <c r="B41" s="448"/>
      <c r="C41" s="453" t="s">
        <v>1164</v>
      </c>
      <c r="D41" s="455"/>
      <c r="E41" s="455"/>
      <c r="F41" s="453" t="s">
        <v>1165</v>
      </c>
      <c r="G41" s="453"/>
      <c r="H41" s="453"/>
      <c r="I41" s="453"/>
      <c r="J41" s="453"/>
      <c r="K41" s="451"/>
      <c r="L41" s="451"/>
      <c r="M41" s="452"/>
    </row>
    <row r="42" spans="2:13" hidden="1" outlineLevel="1" x14ac:dyDescent="0.35">
      <c r="B42" s="448"/>
      <c r="C42" s="454"/>
      <c r="D42" s="455"/>
      <c r="E42" s="455"/>
      <c r="F42" s="455" t="s">
        <v>678</v>
      </c>
      <c r="G42" s="453" t="s">
        <v>1166</v>
      </c>
      <c r="H42" s="453" t="s">
        <v>1167</v>
      </c>
      <c r="I42" s="453" t="s">
        <v>1168</v>
      </c>
      <c r="J42" s="453" t="s">
        <v>1169</v>
      </c>
      <c r="K42" s="451"/>
      <c r="L42" s="451"/>
      <c r="M42" s="452"/>
    </row>
    <row r="43" spans="2:13" hidden="1" outlineLevel="1" x14ac:dyDescent="0.35">
      <c r="B43" s="448"/>
      <c r="C43" s="454"/>
      <c r="D43" s="455"/>
      <c r="E43" s="455"/>
      <c r="F43" s="451" t="str">
        <f>'Calculation Sheet'!B6</f>
        <v>Heating-1a</v>
      </c>
      <c r="G43" s="451">
        <f>'Calculation Sheet'!E6</f>
        <v>3</v>
      </c>
      <c r="H43" s="458">
        <f>'Calculation Sheet'!F6</f>
        <v>1</v>
      </c>
      <c r="I43" s="451">
        <f>'Calculation Sheet'!G6</f>
        <v>0</v>
      </c>
      <c r="J43" s="458">
        <f>'Calculation Sheet'!H6</f>
        <v>0</v>
      </c>
      <c r="K43" s="451"/>
      <c r="L43" s="451"/>
      <c r="M43" s="452"/>
    </row>
    <row r="44" spans="2:13" hidden="1" outlineLevel="1" x14ac:dyDescent="0.35">
      <c r="B44" s="448"/>
      <c r="C44" s="454"/>
      <c r="D44" s="455"/>
      <c r="E44" s="455"/>
      <c r="F44" s="451" t="str">
        <f>'Calculation Sheet'!B7</f>
        <v>Heating-1b</v>
      </c>
      <c r="G44" s="451">
        <f>'Calculation Sheet'!E7</f>
        <v>3</v>
      </c>
      <c r="H44" s="458">
        <f>'Calculation Sheet'!F7</f>
        <v>0.9</v>
      </c>
      <c r="I44" s="451">
        <f>'Calculation Sheet'!G7</f>
        <v>0</v>
      </c>
      <c r="J44" s="458">
        <f>'Calculation Sheet'!H7</f>
        <v>9.9999999999999978E-2</v>
      </c>
      <c r="K44" s="451"/>
      <c r="L44" s="451"/>
      <c r="M44" s="452"/>
    </row>
    <row r="45" spans="2:13" hidden="1" outlineLevel="1" x14ac:dyDescent="0.35">
      <c r="B45" s="448"/>
      <c r="C45" s="454"/>
      <c r="D45" s="455"/>
      <c r="E45" s="455"/>
      <c r="F45" s="451" t="str">
        <f>'Calculation Sheet'!B8</f>
        <v>Heating-1c</v>
      </c>
      <c r="G45" s="451">
        <f>'Calculation Sheet'!E8</f>
        <v>2</v>
      </c>
      <c r="H45" s="458">
        <f>'Calculation Sheet'!F8</f>
        <v>1</v>
      </c>
      <c r="I45" s="451">
        <f>'Calculation Sheet'!G8</f>
        <v>0</v>
      </c>
      <c r="J45" s="458">
        <f>'Calculation Sheet'!H8</f>
        <v>0</v>
      </c>
      <c r="K45" s="451"/>
      <c r="L45" s="451"/>
      <c r="M45" s="452"/>
    </row>
    <row r="46" spans="2:13" hidden="1" outlineLevel="1" x14ac:dyDescent="0.35">
      <c r="B46" s="448"/>
      <c r="C46" s="454"/>
      <c r="D46" s="455"/>
      <c r="E46" s="455"/>
      <c r="F46" s="451" t="str">
        <f>'Calculation Sheet'!B9</f>
        <v>Heating-1d</v>
      </c>
      <c r="G46" s="451">
        <f>'Calculation Sheet'!E9</f>
        <v>3</v>
      </c>
      <c r="H46" s="458">
        <f>'Calculation Sheet'!F9</f>
        <v>1</v>
      </c>
      <c r="I46" s="451">
        <f>'Calculation Sheet'!G9</f>
        <v>0</v>
      </c>
      <c r="J46" s="458">
        <f>'Calculation Sheet'!H9</f>
        <v>0</v>
      </c>
      <c r="K46" s="451"/>
      <c r="L46" s="451"/>
      <c r="M46" s="452"/>
    </row>
    <row r="47" spans="2:13" hidden="1" outlineLevel="1" x14ac:dyDescent="0.35">
      <c r="B47" s="448"/>
      <c r="C47" s="454"/>
      <c r="D47" s="455"/>
      <c r="E47" s="455"/>
      <c r="F47" s="451" t="str">
        <f>'Calculation Sheet'!B10</f>
        <v>Heating-1e</v>
      </c>
      <c r="G47" s="451">
        <f>'Calculation Sheet'!E10</f>
        <v>2</v>
      </c>
      <c r="H47" s="458">
        <f>'Calculation Sheet'!F10</f>
        <v>1</v>
      </c>
      <c r="I47" s="451">
        <f>'Calculation Sheet'!G10</f>
        <v>0</v>
      </c>
      <c r="J47" s="458">
        <f>'Calculation Sheet'!H10</f>
        <v>0</v>
      </c>
      <c r="K47" s="451"/>
      <c r="L47" s="451"/>
      <c r="M47" s="452"/>
    </row>
    <row r="48" spans="2:13" hidden="1" outlineLevel="1" x14ac:dyDescent="0.35">
      <c r="B48" s="448"/>
      <c r="C48" s="454"/>
      <c r="D48" s="455"/>
      <c r="E48" s="455"/>
      <c r="F48" s="451" t="str">
        <f>'Calculation Sheet'!B11</f>
        <v>Heating-1f</v>
      </c>
      <c r="G48" s="451">
        <f>'Calculation Sheet'!E11</f>
        <v>0</v>
      </c>
      <c r="H48" s="458">
        <f>'Calculation Sheet'!F11</f>
        <v>1</v>
      </c>
      <c r="I48" s="451">
        <f>'Calculation Sheet'!G11</f>
        <v>0</v>
      </c>
      <c r="J48" s="458">
        <f>'Calculation Sheet'!H11</f>
        <v>0</v>
      </c>
      <c r="K48" s="451"/>
      <c r="L48" s="451"/>
      <c r="M48" s="452"/>
    </row>
    <row r="49" spans="2:13" hidden="1" outlineLevel="1" x14ac:dyDescent="0.35">
      <c r="B49" s="448"/>
      <c r="C49" s="454"/>
      <c r="D49" s="455"/>
      <c r="E49" s="455"/>
      <c r="F49" s="451" t="str">
        <f>'Calculation Sheet'!B12</f>
        <v>Heating-1g</v>
      </c>
      <c r="G49" s="451">
        <f>'Calculation Sheet'!E12</f>
        <v>1</v>
      </c>
      <c r="H49" s="458">
        <f>'Calculation Sheet'!F12</f>
        <v>1</v>
      </c>
      <c r="I49" s="451">
        <f>'Calculation Sheet'!G12</f>
        <v>0</v>
      </c>
      <c r="J49" s="458">
        <f>'Calculation Sheet'!H12</f>
        <v>0</v>
      </c>
      <c r="K49" s="451"/>
      <c r="L49" s="451"/>
      <c r="M49" s="452"/>
    </row>
    <row r="50" spans="2:13" hidden="1" outlineLevel="1" x14ac:dyDescent="0.35">
      <c r="B50" s="448"/>
      <c r="C50" s="454"/>
      <c r="D50" s="455"/>
      <c r="E50" s="455"/>
      <c r="F50" s="451" t="str">
        <f>'Calculation Sheet'!B13</f>
        <v>Heating-2a</v>
      </c>
      <c r="G50" s="451">
        <f>'Calculation Sheet'!E13</f>
        <v>0</v>
      </c>
      <c r="H50" s="458">
        <f>'Calculation Sheet'!F13</f>
        <v>1</v>
      </c>
      <c r="I50" s="451">
        <f>'Calculation Sheet'!G13</f>
        <v>0</v>
      </c>
      <c r="J50" s="458">
        <f>'Calculation Sheet'!H13</f>
        <v>0</v>
      </c>
      <c r="K50" s="451"/>
      <c r="L50" s="451"/>
      <c r="M50" s="452"/>
    </row>
    <row r="51" spans="2:13" hidden="1" outlineLevel="1" x14ac:dyDescent="0.35">
      <c r="B51" s="448"/>
      <c r="C51" s="454"/>
      <c r="D51" s="455"/>
      <c r="E51" s="455"/>
      <c r="F51" s="451" t="str">
        <f>'Calculation Sheet'!B14</f>
        <v>Heating-2b</v>
      </c>
      <c r="G51" s="451">
        <f>'Calculation Sheet'!E14</f>
        <v>3</v>
      </c>
      <c r="H51" s="458">
        <f>'Calculation Sheet'!F14</f>
        <v>1</v>
      </c>
      <c r="I51" s="451">
        <f>'Calculation Sheet'!G14</f>
        <v>0</v>
      </c>
      <c r="J51" s="458">
        <f>'Calculation Sheet'!H14</f>
        <v>0</v>
      </c>
      <c r="K51" s="451"/>
      <c r="L51" s="451"/>
      <c r="M51" s="452"/>
    </row>
    <row r="52" spans="2:13" hidden="1" outlineLevel="1" x14ac:dyDescent="0.35">
      <c r="B52" s="448"/>
      <c r="C52" s="454"/>
      <c r="D52" s="455"/>
      <c r="E52" s="455"/>
      <c r="F52" s="451" t="str">
        <f>'Calculation Sheet'!B15</f>
        <v>Heating-2c</v>
      </c>
      <c r="G52" s="451">
        <f>'Calculation Sheet'!E15</f>
        <v>2</v>
      </c>
      <c r="H52" s="458">
        <f>'Calculation Sheet'!F15</f>
        <v>1</v>
      </c>
      <c r="I52" s="451">
        <f>'Calculation Sheet'!G15</f>
        <v>0</v>
      </c>
      <c r="J52" s="458">
        <f>'Calculation Sheet'!H15</f>
        <v>0</v>
      </c>
      <c r="K52" s="451"/>
      <c r="L52" s="451"/>
      <c r="M52" s="452"/>
    </row>
    <row r="53" spans="2:13" hidden="1" outlineLevel="1" x14ac:dyDescent="0.35">
      <c r="B53" s="448"/>
      <c r="C53" s="454"/>
      <c r="D53" s="455"/>
      <c r="E53" s="455"/>
      <c r="F53" s="451" t="str">
        <f>'Calculation Sheet'!B16</f>
        <v>Heating-2d</v>
      </c>
      <c r="G53" s="451">
        <f>'Calculation Sheet'!E16</f>
        <v>4</v>
      </c>
      <c r="H53" s="458">
        <f>'Calculation Sheet'!F16</f>
        <v>1</v>
      </c>
      <c r="I53" s="451">
        <f>'Calculation Sheet'!G16</f>
        <v>0</v>
      </c>
      <c r="J53" s="458">
        <f>'Calculation Sheet'!H16</f>
        <v>0</v>
      </c>
      <c r="K53" s="451"/>
      <c r="L53" s="451"/>
      <c r="M53" s="452"/>
    </row>
    <row r="54" spans="2:13" hidden="1" outlineLevel="1" x14ac:dyDescent="0.35">
      <c r="B54" s="448"/>
      <c r="C54" s="454"/>
      <c r="D54" s="455"/>
      <c r="E54" s="455"/>
      <c r="F54" s="451" t="str">
        <f>'Calculation Sheet'!B17</f>
        <v>Heating-3</v>
      </c>
      <c r="G54" s="451">
        <f>'Calculation Sheet'!E17</f>
        <v>3</v>
      </c>
      <c r="H54" s="458">
        <f>'Calculation Sheet'!F17</f>
        <v>1</v>
      </c>
      <c r="I54" s="451">
        <f>'Calculation Sheet'!G17</f>
        <v>0</v>
      </c>
      <c r="J54" s="458">
        <f>'Calculation Sheet'!H17</f>
        <v>0</v>
      </c>
      <c r="K54" s="451"/>
      <c r="L54" s="451"/>
      <c r="M54" s="452"/>
    </row>
    <row r="55" spans="2:13" hidden="1" outlineLevel="1" x14ac:dyDescent="0.35">
      <c r="B55" s="448"/>
      <c r="C55" s="454"/>
      <c r="D55" s="455"/>
      <c r="E55" s="455"/>
      <c r="F55" s="451" t="str">
        <f>'Calculation Sheet'!B18</f>
        <v>DHW-1a</v>
      </c>
      <c r="G55" s="451">
        <f>'Calculation Sheet'!E18</f>
        <v>0</v>
      </c>
      <c r="H55" s="458">
        <f>'Calculation Sheet'!F18</f>
        <v>1</v>
      </c>
      <c r="I55" s="451">
        <f>'Calculation Sheet'!G18</f>
        <v>0</v>
      </c>
      <c r="J55" s="458">
        <f>'Calculation Sheet'!H18</f>
        <v>0</v>
      </c>
      <c r="K55" s="451"/>
      <c r="L55" s="451"/>
      <c r="M55" s="452"/>
    </row>
    <row r="56" spans="2:13" hidden="1" outlineLevel="1" x14ac:dyDescent="0.35">
      <c r="B56" s="448"/>
      <c r="C56" s="454"/>
      <c r="D56" s="455"/>
      <c r="E56" s="455"/>
      <c r="F56" s="451" t="str">
        <f>'Calculation Sheet'!B19</f>
        <v>DHW-1b</v>
      </c>
      <c r="G56" s="451">
        <f>'Calculation Sheet'!E19</f>
        <v>0</v>
      </c>
      <c r="H56" s="458">
        <f>'Calculation Sheet'!F19</f>
        <v>1</v>
      </c>
      <c r="I56" s="451">
        <f>'Calculation Sheet'!G19</f>
        <v>0</v>
      </c>
      <c r="J56" s="458">
        <f>'Calculation Sheet'!H19</f>
        <v>0</v>
      </c>
      <c r="K56" s="451"/>
      <c r="L56" s="451"/>
      <c r="M56" s="452"/>
    </row>
    <row r="57" spans="2:13" hidden="1" outlineLevel="1" x14ac:dyDescent="0.35">
      <c r="B57" s="448"/>
      <c r="C57" s="454"/>
      <c r="D57" s="455"/>
      <c r="E57" s="455"/>
      <c r="F57" s="451" t="str">
        <f>'Calculation Sheet'!B20</f>
        <v>DHW-1d</v>
      </c>
      <c r="G57" s="451">
        <f>'Calculation Sheet'!E20</f>
        <v>0</v>
      </c>
      <c r="H57" s="458">
        <f>'Calculation Sheet'!F20</f>
        <v>1</v>
      </c>
      <c r="I57" s="451">
        <f>'Calculation Sheet'!G20</f>
        <v>0</v>
      </c>
      <c r="J57" s="458">
        <f>'Calculation Sheet'!H20</f>
        <v>0</v>
      </c>
      <c r="K57" s="451"/>
      <c r="L57" s="451"/>
      <c r="M57" s="452"/>
    </row>
    <row r="58" spans="2:13" hidden="1" outlineLevel="1" x14ac:dyDescent="0.35">
      <c r="B58" s="448"/>
      <c r="C58" s="454"/>
      <c r="D58" s="455"/>
      <c r="E58" s="455"/>
      <c r="F58" s="451" t="str">
        <f>'Calculation Sheet'!B21</f>
        <v>DHW-3</v>
      </c>
      <c r="G58" s="451">
        <f>'Calculation Sheet'!E21</f>
        <v>1</v>
      </c>
      <c r="H58" s="458">
        <f>'Calculation Sheet'!F21</f>
        <v>1</v>
      </c>
      <c r="I58" s="451">
        <f>'Calculation Sheet'!G21</f>
        <v>0</v>
      </c>
      <c r="J58" s="458">
        <f>'Calculation Sheet'!H21</f>
        <v>0</v>
      </c>
      <c r="K58" s="451"/>
      <c r="L58" s="451"/>
      <c r="M58" s="452"/>
    </row>
    <row r="59" spans="2:13" hidden="1" outlineLevel="1" x14ac:dyDescent="0.35">
      <c r="B59" s="448"/>
      <c r="C59" s="454"/>
      <c r="D59" s="455"/>
      <c r="E59" s="455"/>
      <c r="F59" s="451" t="str">
        <f>'Calculation Sheet'!B22</f>
        <v>Cooling-1a</v>
      </c>
      <c r="G59" s="451">
        <f>'Calculation Sheet'!E22</f>
        <v>4</v>
      </c>
      <c r="H59" s="458">
        <f>'Calculation Sheet'!F22</f>
        <v>1</v>
      </c>
      <c r="I59" s="451">
        <f>'Calculation Sheet'!G22</f>
        <v>0</v>
      </c>
      <c r="J59" s="458">
        <f>'Calculation Sheet'!H22</f>
        <v>0</v>
      </c>
      <c r="K59" s="451"/>
      <c r="L59" s="451"/>
      <c r="M59" s="452"/>
    </row>
    <row r="60" spans="2:13" hidden="1" outlineLevel="1" x14ac:dyDescent="0.35">
      <c r="B60" s="448"/>
      <c r="C60" s="454"/>
      <c r="D60" s="455"/>
      <c r="E60" s="455"/>
      <c r="F60" s="451" t="str">
        <f>'Calculation Sheet'!B23</f>
        <v>Cooling-1b</v>
      </c>
      <c r="G60" s="451">
        <f>'Calculation Sheet'!E23</f>
        <v>0</v>
      </c>
      <c r="H60" s="458">
        <f>'Calculation Sheet'!F23</f>
        <v>1</v>
      </c>
      <c r="I60" s="451">
        <f>'Calculation Sheet'!G23</f>
        <v>0</v>
      </c>
      <c r="J60" s="458">
        <f>'Calculation Sheet'!H23</f>
        <v>0</v>
      </c>
      <c r="K60" s="451"/>
      <c r="L60" s="451"/>
      <c r="M60" s="452"/>
    </row>
    <row r="61" spans="2:13" hidden="1" outlineLevel="1" x14ac:dyDescent="0.35">
      <c r="B61" s="448"/>
      <c r="C61" s="454"/>
      <c r="D61" s="455"/>
      <c r="E61" s="455"/>
      <c r="F61" s="451" t="str">
        <f>'Calculation Sheet'!B24</f>
        <v>Cooling-1c</v>
      </c>
      <c r="G61" s="451">
        <f>'Calculation Sheet'!E24</f>
        <v>2</v>
      </c>
      <c r="H61" s="458">
        <f>'Calculation Sheet'!F24</f>
        <v>1</v>
      </c>
      <c r="I61" s="451">
        <f>'Calculation Sheet'!G24</f>
        <v>0</v>
      </c>
      <c r="J61" s="458">
        <f>'Calculation Sheet'!H24</f>
        <v>0</v>
      </c>
      <c r="K61" s="451"/>
      <c r="L61" s="451"/>
      <c r="M61" s="452"/>
    </row>
    <row r="62" spans="2:13" hidden="1" outlineLevel="1" x14ac:dyDescent="0.35">
      <c r="B62" s="448"/>
      <c r="C62" s="454"/>
      <c r="D62" s="455"/>
      <c r="E62" s="455"/>
      <c r="F62" s="451" t="str">
        <f>'Calculation Sheet'!B25</f>
        <v>Cooling-1d</v>
      </c>
      <c r="G62" s="451">
        <f>'Calculation Sheet'!E25</f>
        <v>4</v>
      </c>
      <c r="H62" s="458">
        <f>'Calculation Sheet'!F25</f>
        <v>1</v>
      </c>
      <c r="I62" s="451">
        <f>'Calculation Sheet'!G25</f>
        <v>0</v>
      </c>
      <c r="J62" s="458">
        <f>'Calculation Sheet'!H25</f>
        <v>0</v>
      </c>
      <c r="K62" s="451"/>
      <c r="L62" s="451"/>
      <c r="M62" s="452"/>
    </row>
    <row r="63" spans="2:13" hidden="1" outlineLevel="1" x14ac:dyDescent="0.35">
      <c r="B63" s="448"/>
      <c r="C63" s="454"/>
      <c r="D63" s="455"/>
      <c r="E63" s="455"/>
      <c r="F63" s="451" t="str">
        <f>'Calculation Sheet'!B26</f>
        <v>Cooling-1e</v>
      </c>
      <c r="G63" s="451">
        <f>'Calculation Sheet'!E26</f>
        <v>2</v>
      </c>
      <c r="H63" s="458">
        <f>'Calculation Sheet'!F26</f>
        <v>1</v>
      </c>
      <c r="I63" s="451">
        <f>'Calculation Sheet'!G26</f>
        <v>0</v>
      </c>
      <c r="J63" s="458">
        <f>'Calculation Sheet'!H26</f>
        <v>0</v>
      </c>
      <c r="K63" s="451"/>
      <c r="L63" s="451"/>
      <c r="M63" s="452"/>
    </row>
    <row r="64" spans="2:13" hidden="1" outlineLevel="1" x14ac:dyDescent="0.35">
      <c r="B64" s="448"/>
      <c r="C64" s="454"/>
      <c r="D64" s="455"/>
      <c r="E64" s="455"/>
      <c r="F64" s="451" t="str">
        <f>'Calculation Sheet'!B27</f>
        <v>Cooling-1f</v>
      </c>
      <c r="G64" s="451">
        <f>'Calculation Sheet'!E27</f>
        <v>2</v>
      </c>
      <c r="H64" s="458">
        <f>'Calculation Sheet'!F27</f>
        <v>1</v>
      </c>
      <c r="I64" s="451">
        <f>'Calculation Sheet'!G27</f>
        <v>0</v>
      </c>
      <c r="J64" s="458">
        <f>'Calculation Sheet'!H27</f>
        <v>0</v>
      </c>
      <c r="K64" s="451"/>
      <c r="L64" s="451"/>
      <c r="M64" s="452"/>
    </row>
    <row r="65" spans="2:13" hidden="1" outlineLevel="1" x14ac:dyDescent="0.35">
      <c r="B65" s="448"/>
      <c r="C65" s="454"/>
      <c r="D65" s="455"/>
      <c r="E65" s="455"/>
      <c r="F65" s="451" t="str">
        <f>'Calculation Sheet'!B28</f>
        <v>Cooling-1g</v>
      </c>
      <c r="G65" s="451">
        <f>'Calculation Sheet'!E28</f>
        <v>1</v>
      </c>
      <c r="H65" s="458">
        <f>'Calculation Sheet'!F28</f>
        <v>1</v>
      </c>
      <c r="I65" s="451">
        <f>'Calculation Sheet'!G28</f>
        <v>0</v>
      </c>
      <c r="J65" s="458">
        <f>'Calculation Sheet'!H28</f>
        <v>0</v>
      </c>
      <c r="K65" s="451"/>
      <c r="L65" s="451"/>
      <c r="M65" s="452"/>
    </row>
    <row r="66" spans="2:13" hidden="1" outlineLevel="1" x14ac:dyDescent="0.35">
      <c r="B66" s="448"/>
      <c r="C66" s="454"/>
      <c r="D66" s="455"/>
      <c r="E66" s="455"/>
      <c r="F66" s="451" t="str">
        <f>'Calculation Sheet'!B29</f>
        <v>Cooling-2a</v>
      </c>
      <c r="G66" s="451">
        <f>'Calculation Sheet'!E29</f>
        <v>2</v>
      </c>
      <c r="H66" s="458">
        <f>'Calculation Sheet'!F29</f>
        <v>1</v>
      </c>
      <c r="I66" s="451">
        <f>'Calculation Sheet'!G29</f>
        <v>0</v>
      </c>
      <c r="J66" s="458">
        <f>'Calculation Sheet'!H29</f>
        <v>0</v>
      </c>
      <c r="K66" s="451"/>
      <c r="L66" s="451"/>
      <c r="M66" s="452"/>
    </row>
    <row r="67" spans="2:13" hidden="1" outlineLevel="1" x14ac:dyDescent="0.35">
      <c r="B67" s="448"/>
      <c r="C67" s="454"/>
      <c r="D67" s="455"/>
      <c r="E67" s="455"/>
      <c r="F67" s="451" t="str">
        <f>'Calculation Sheet'!B30</f>
        <v>Cooling-2b</v>
      </c>
      <c r="G67" s="451">
        <f>'Calculation Sheet'!E30</f>
        <v>1</v>
      </c>
      <c r="H67" s="458">
        <f>'Calculation Sheet'!F30</f>
        <v>1</v>
      </c>
      <c r="I67" s="451">
        <f>'Calculation Sheet'!G30</f>
        <v>0</v>
      </c>
      <c r="J67" s="458">
        <f>'Calculation Sheet'!H30</f>
        <v>0</v>
      </c>
      <c r="K67" s="451"/>
      <c r="L67" s="451"/>
      <c r="M67" s="452"/>
    </row>
    <row r="68" spans="2:13" hidden="1" outlineLevel="1" x14ac:dyDescent="0.35">
      <c r="B68" s="448"/>
      <c r="C68" s="454"/>
      <c r="D68" s="455"/>
      <c r="E68" s="455"/>
      <c r="F68" s="451" t="str">
        <f>'Calculation Sheet'!B31</f>
        <v>Cooling-3</v>
      </c>
      <c r="G68" s="451">
        <f>'Calculation Sheet'!E31</f>
        <v>3</v>
      </c>
      <c r="H68" s="458">
        <f>'Calculation Sheet'!F31</f>
        <v>1</v>
      </c>
      <c r="I68" s="451">
        <f>'Calculation Sheet'!G31</f>
        <v>0</v>
      </c>
      <c r="J68" s="458">
        <f>'Calculation Sheet'!H31</f>
        <v>0</v>
      </c>
      <c r="K68" s="451"/>
      <c r="L68" s="451"/>
      <c r="M68" s="452"/>
    </row>
    <row r="69" spans="2:13" hidden="1" outlineLevel="1" x14ac:dyDescent="0.35">
      <c r="B69" s="448"/>
      <c r="C69" s="454"/>
      <c r="D69" s="455"/>
      <c r="E69" s="455"/>
      <c r="F69" s="451" t="str">
        <f>'Calculation Sheet'!B32</f>
        <v>Ventilation-1a</v>
      </c>
      <c r="G69" s="451">
        <f>'Calculation Sheet'!E32</f>
        <v>3</v>
      </c>
      <c r="H69" s="458">
        <f>'Calculation Sheet'!F32</f>
        <v>1</v>
      </c>
      <c r="I69" s="451">
        <f>'Calculation Sheet'!G32</f>
        <v>0</v>
      </c>
      <c r="J69" s="458">
        <f>'Calculation Sheet'!H32</f>
        <v>0</v>
      </c>
      <c r="K69" s="451"/>
      <c r="L69" s="451"/>
      <c r="M69" s="452"/>
    </row>
    <row r="70" spans="2:13" hidden="1" outlineLevel="1" x14ac:dyDescent="0.35">
      <c r="B70" s="448"/>
      <c r="C70" s="454"/>
      <c r="D70" s="455"/>
      <c r="E70" s="455"/>
      <c r="F70" s="451" t="str">
        <f>'Calculation Sheet'!B33</f>
        <v>Ventilation-1b</v>
      </c>
      <c r="G70" s="451">
        <f>'Calculation Sheet'!E33</f>
        <v>3</v>
      </c>
      <c r="H70" s="458">
        <f>'Calculation Sheet'!F33</f>
        <v>1</v>
      </c>
      <c r="I70" s="451">
        <f>'Calculation Sheet'!G33</f>
        <v>0</v>
      </c>
      <c r="J70" s="458">
        <f>'Calculation Sheet'!H33</f>
        <v>0</v>
      </c>
      <c r="K70" s="451"/>
      <c r="L70" s="451"/>
      <c r="M70" s="452"/>
    </row>
    <row r="71" spans="2:13" hidden="1" outlineLevel="1" x14ac:dyDescent="0.35">
      <c r="B71" s="448"/>
      <c r="C71" s="454"/>
      <c r="D71" s="455"/>
      <c r="E71" s="455"/>
      <c r="F71" s="451" t="str">
        <f>'Calculation Sheet'!B34</f>
        <v>Ventilation-1c</v>
      </c>
      <c r="G71" s="451">
        <f>'Calculation Sheet'!E34</f>
        <v>3</v>
      </c>
      <c r="H71" s="458">
        <f>'Calculation Sheet'!F34</f>
        <v>1</v>
      </c>
      <c r="I71" s="451">
        <f>'Calculation Sheet'!G34</f>
        <v>0</v>
      </c>
      <c r="J71" s="458">
        <f>'Calculation Sheet'!H34</f>
        <v>0</v>
      </c>
      <c r="K71" s="451"/>
      <c r="L71" s="451"/>
      <c r="M71" s="452"/>
    </row>
    <row r="72" spans="2:13" hidden="1" outlineLevel="1" x14ac:dyDescent="0.35">
      <c r="B72" s="448"/>
      <c r="C72" s="454"/>
      <c r="D72" s="455"/>
      <c r="E72" s="455"/>
      <c r="F72" s="451" t="str">
        <f>'Calculation Sheet'!B35</f>
        <v>Ventilation-2a</v>
      </c>
      <c r="G72" s="451">
        <f>'Calculation Sheet'!E35</f>
        <v>0</v>
      </c>
      <c r="H72" s="458">
        <f>'Calculation Sheet'!F35</f>
        <v>1</v>
      </c>
      <c r="I72" s="451">
        <f>'Calculation Sheet'!G35</f>
        <v>0</v>
      </c>
      <c r="J72" s="458">
        <f>'Calculation Sheet'!H35</f>
        <v>0</v>
      </c>
      <c r="K72" s="451"/>
      <c r="L72" s="451"/>
      <c r="M72" s="452"/>
    </row>
    <row r="73" spans="2:13" hidden="1" outlineLevel="1" x14ac:dyDescent="0.35">
      <c r="B73" s="448"/>
      <c r="C73" s="454"/>
      <c r="D73" s="455"/>
      <c r="E73" s="455"/>
      <c r="F73" s="451" t="str">
        <f>'Calculation Sheet'!B36</f>
        <v>Ventilation-2c</v>
      </c>
      <c r="G73" s="451">
        <f>'Calculation Sheet'!E36</f>
        <v>2</v>
      </c>
      <c r="H73" s="458">
        <f>'Calculation Sheet'!F36</f>
        <v>1</v>
      </c>
      <c r="I73" s="451">
        <f>'Calculation Sheet'!G36</f>
        <v>0</v>
      </c>
      <c r="J73" s="458">
        <f>'Calculation Sheet'!H36</f>
        <v>0</v>
      </c>
      <c r="K73" s="451"/>
      <c r="L73" s="451"/>
      <c r="M73" s="452"/>
    </row>
    <row r="74" spans="2:13" hidden="1" outlineLevel="1" x14ac:dyDescent="0.35">
      <c r="B74" s="448"/>
      <c r="C74" s="454"/>
      <c r="D74" s="455"/>
      <c r="E74" s="455"/>
      <c r="F74" s="451" t="str">
        <f>'Calculation Sheet'!B37</f>
        <v>Ventilation-2d</v>
      </c>
      <c r="G74" s="451">
        <f>'Calculation Sheet'!E37</f>
        <v>0</v>
      </c>
      <c r="H74" s="458">
        <f>'Calculation Sheet'!F37</f>
        <v>1</v>
      </c>
      <c r="I74" s="451">
        <f>'Calculation Sheet'!G37</f>
        <v>0</v>
      </c>
      <c r="J74" s="458">
        <f>'Calculation Sheet'!H37</f>
        <v>0</v>
      </c>
      <c r="K74" s="451"/>
      <c r="L74" s="451"/>
      <c r="M74" s="452"/>
    </row>
    <row r="75" spans="2:13" hidden="1" outlineLevel="1" x14ac:dyDescent="0.35">
      <c r="B75" s="448"/>
      <c r="C75" s="454"/>
      <c r="D75" s="455"/>
      <c r="E75" s="455"/>
      <c r="F75" s="451" t="str">
        <f>'Calculation Sheet'!B38</f>
        <v>Ventilation-3</v>
      </c>
      <c r="G75" s="451">
        <f>'Calculation Sheet'!E38</f>
        <v>2</v>
      </c>
      <c r="H75" s="458">
        <f>'Calculation Sheet'!F38</f>
        <v>1</v>
      </c>
      <c r="I75" s="451">
        <f>'Calculation Sheet'!G38</f>
        <v>0</v>
      </c>
      <c r="J75" s="458">
        <f>'Calculation Sheet'!H38</f>
        <v>0</v>
      </c>
      <c r="K75" s="451"/>
      <c r="L75" s="451"/>
      <c r="M75" s="452"/>
    </row>
    <row r="76" spans="2:13" hidden="1" outlineLevel="1" x14ac:dyDescent="0.35">
      <c r="B76" s="448"/>
      <c r="C76" s="454"/>
      <c r="D76" s="455"/>
      <c r="E76" s="455"/>
      <c r="F76" s="451" t="str">
        <f>'Calculation Sheet'!B39</f>
        <v>Ventilation-6</v>
      </c>
      <c r="G76" s="451">
        <f>'Calculation Sheet'!E39</f>
        <v>1</v>
      </c>
      <c r="H76" s="458">
        <f>'Calculation Sheet'!F39</f>
        <v>1</v>
      </c>
      <c r="I76" s="451">
        <f>'Calculation Sheet'!G39</f>
        <v>0</v>
      </c>
      <c r="J76" s="458">
        <f>'Calculation Sheet'!H39</f>
        <v>0</v>
      </c>
      <c r="K76" s="451"/>
      <c r="L76" s="451"/>
      <c r="M76" s="452"/>
    </row>
    <row r="77" spans="2:13" hidden="1" outlineLevel="1" x14ac:dyDescent="0.35">
      <c r="B77" s="448"/>
      <c r="C77" s="454"/>
      <c r="D77" s="455"/>
      <c r="E77" s="455"/>
      <c r="F77" s="451" t="str">
        <f>'Calculation Sheet'!B40</f>
        <v>Lighting-1a</v>
      </c>
      <c r="G77" s="451">
        <f>'Calculation Sheet'!E40</f>
        <v>3</v>
      </c>
      <c r="H77" s="458">
        <f>'Calculation Sheet'!F40</f>
        <v>1</v>
      </c>
      <c r="I77" s="451">
        <f>'Calculation Sheet'!G40</f>
        <v>0</v>
      </c>
      <c r="J77" s="458">
        <f>'Calculation Sheet'!H40</f>
        <v>0</v>
      </c>
      <c r="K77" s="451"/>
      <c r="L77" s="451"/>
      <c r="M77" s="452"/>
    </row>
    <row r="78" spans="2:13" hidden="1" outlineLevel="1" x14ac:dyDescent="0.35">
      <c r="B78" s="448"/>
      <c r="C78" s="454"/>
      <c r="D78" s="455"/>
      <c r="E78" s="455"/>
      <c r="F78" s="451" t="str">
        <f>'Calculation Sheet'!B41</f>
        <v>Lighting-2</v>
      </c>
      <c r="G78" s="451">
        <f>'Calculation Sheet'!E41</f>
        <v>2</v>
      </c>
      <c r="H78" s="458">
        <f>'Calculation Sheet'!F41</f>
        <v>1</v>
      </c>
      <c r="I78" s="451">
        <f>'Calculation Sheet'!G41</f>
        <v>0</v>
      </c>
      <c r="J78" s="458">
        <f>'Calculation Sheet'!H41</f>
        <v>0</v>
      </c>
      <c r="K78" s="451"/>
      <c r="L78" s="451"/>
      <c r="M78" s="452"/>
    </row>
    <row r="79" spans="2:13" hidden="1" outlineLevel="1" x14ac:dyDescent="0.35">
      <c r="B79" s="448"/>
      <c r="C79" s="454"/>
      <c r="D79" s="455"/>
      <c r="E79" s="455"/>
      <c r="F79" s="451" t="str">
        <f>'Calculation Sheet'!B42</f>
        <v>DE-1</v>
      </c>
      <c r="G79" s="451">
        <f>'Calculation Sheet'!E42</f>
        <v>0</v>
      </c>
      <c r="H79" s="458">
        <f>'Calculation Sheet'!F42</f>
        <v>1</v>
      </c>
      <c r="I79" s="451">
        <f>'Calculation Sheet'!G42</f>
        <v>0</v>
      </c>
      <c r="J79" s="458">
        <f>'Calculation Sheet'!H42</f>
        <v>0</v>
      </c>
      <c r="K79" s="451"/>
      <c r="L79" s="451"/>
      <c r="M79" s="452"/>
    </row>
    <row r="80" spans="2:13" hidden="1" outlineLevel="1" x14ac:dyDescent="0.35">
      <c r="B80" s="448"/>
      <c r="C80" s="454"/>
      <c r="D80" s="455"/>
      <c r="E80" s="455"/>
      <c r="F80" s="451" t="str">
        <f>'Calculation Sheet'!B43</f>
        <v>DE-2</v>
      </c>
      <c r="G80" s="451">
        <f>'Calculation Sheet'!E43</f>
        <v>0</v>
      </c>
      <c r="H80" s="458">
        <f>'Calculation Sheet'!F43</f>
        <v>1</v>
      </c>
      <c r="I80" s="451">
        <f>'Calculation Sheet'!G43</f>
        <v>0</v>
      </c>
      <c r="J80" s="458">
        <f>'Calculation Sheet'!H43</f>
        <v>0</v>
      </c>
      <c r="K80" s="451"/>
      <c r="L80" s="451"/>
      <c r="M80" s="452"/>
    </row>
    <row r="81" spans="2:13" hidden="1" outlineLevel="1" x14ac:dyDescent="0.35">
      <c r="B81" s="448"/>
      <c r="C81" s="454"/>
      <c r="D81" s="455"/>
      <c r="E81" s="455"/>
      <c r="F81" s="451" t="str">
        <f>'Calculation Sheet'!B44</f>
        <v>DE-4</v>
      </c>
      <c r="G81" s="451">
        <f>'Calculation Sheet'!E44</f>
        <v>0</v>
      </c>
      <c r="H81" s="458">
        <f>'Calculation Sheet'!F44</f>
        <v>1</v>
      </c>
      <c r="I81" s="451">
        <f>'Calculation Sheet'!G44</f>
        <v>0</v>
      </c>
      <c r="J81" s="458">
        <f>'Calculation Sheet'!H44</f>
        <v>0</v>
      </c>
      <c r="K81" s="451"/>
      <c r="L81" s="451"/>
      <c r="M81" s="452"/>
    </row>
    <row r="82" spans="2:13" hidden="1" outlineLevel="1" x14ac:dyDescent="0.35">
      <c r="B82" s="448"/>
      <c r="C82" s="454"/>
      <c r="D82" s="455"/>
      <c r="E82" s="455"/>
      <c r="F82" s="451" t="str">
        <f>'Calculation Sheet'!B45</f>
        <v>electricity-2</v>
      </c>
      <c r="G82" s="451">
        <f>'Calculation Sheet'!E45</f>
        <v>2</v>
      </c>
      <c r="H82" s="458">
        <f>'Calculation Sheet'!F45</f>
        <v>1</v>
      </c>
      <c r="I82" s="451">
        <f>'Calculation Sheet'!G45</f>
        <v>0</v>
      </c>
      <c r="J82" s="458">
        <f>'Calculation Sheet'!H45</f>
        <v>0</v>
      </c>
      <c r="K82" s="451"/>
      <c r="L82" s="451"/>
      <c r="M82" s="452"/>
    </row>
    <row r="83" spans="2:13" hidden="1" outlineLevel="1" x14ac:dyDescent="0.35">
      <c r="B83" s="448"/>
      <c r="C83" s="454"/>
      <c r="D83" s="455"/>
      <c r="E83" s="455"/>
      <c r="F83" s="451" t="str">
        <f>'Calculation Sheet'!B46</f>
        <v>electricity-3</v>
      </c>
      <c r="G83" s="451">
        <f>'Calculation Sheet'!E46</f>
        <v>0</v>
      </c>
      <c r="H83" s="458">
        <f>'Calculation Sheet'!F46</f>
        <v>1</v>
      </c>
      <c r="I83" s="451">
        <f>'Calculation Sheet'!G46</f>
        <v>0</v>
      </c>
      <c r="J83" s="458">
        <f>'Calculation Sheet'!H46</f>
        <v>0</v>
      </c>
      <c r="K83" s="451"/>
      <c r="L83" s="451"/>
      <c r="M83" s="452"/>
    </row>
    <row r="84" spans="2:13" hidden="1" outlineLevel="1" x14ac:dyDescent="0.35">
      <c r="B84" s="448"/>
      <c r="C84" s="454"/>
      <c r="D84" s="455"/>
      <c r="E84" s="455"/>
      <c r="F84" s="451" t="str">
        <f>'Calculation Sheet'!B47</f>
        <v>electricity-4</v>
      </c>
      <c r="G84" s="451">
        <f>'Calculation Sheet'!E47</f>
        <v>0</v>
      </c>
      <c r="H84" s="458">
        <f>'Calculation Sheet'!F47</f>
        <v>1</v>
      </c>
      <c r="I84" s="451">
        <f>'Calculation Sheet'!G47</f>
        <v>0</v>
      </c>
      <c r="J84" s="458">
        <f>'Calculation Sheet'!H47</f>
        <v>0</v>
      </c>
      <c r="K84" s="451"/>
      <c r="L84" s="451"/>
      <c r="M84" s="452"/>
    </row>
    <row r="85" spans="2:13" hidden="1" outlineLevel="1" x14ac:dyDescent="0.35">
      <c r="B85" s="448"/>
      <c r="C85" s="454"/>
      <c r="D85" s="455"/>
      <c r="E85" s="455"/>
      <c r="F85" s="451" t="str">
        <f>'Calculation Sheet'!B48</f>
        <v>electricity-5</v>
      </c>
      <c r="G85" s="451">
        <f>'Calculation Sheet'!E48</f>
        <v>0</v>
      </c>
      <c r="H85" s="458">
        <f>'Calculation Sheet'!F48</f>
        <v>1</v>
      </c>
      <c r="I85" s="451">
        <f>'Calculation Sheet'!G48</f>
        <v>0</v>
      </c>
      <c r="J85" s="458">
        <f>'Calculation Sheet'!H48</f>
        <v>0</v>
      </c>
      <c r="K85" s="451"/>
      <c r="L85" s="451"/>
      <c r="M85" s="452"/>
    </row>
    <row r="86" spans="2:13" hidden="1" outlineLevel="1" x14ac:dyDescent="0.35">
      <c r="B86" s="448"/>
      <c r="C86" s="454"/>
      <c r="D86" s="455"/>
      <c r="E86" s="455"/>
      <c r="F86" s="451" t="str">
        <f>'Calculation Sheet'!B49</f>
        <v>electricity-11</v>
      </c>
      <c r="G86" s="451">
        <f>'Calculation Sheet'!E49</f>
        <v>0</v>
      </c>
      <c r="H86" s="458">
        <f>'Calculation Sheet'!F49</f>
        <v>1</v>
      </c>
      <c r="I86" s="451">
        <f>'Calculation Sheet'!G49</f>
        <v>0</v>
      </c>
      <c r="J86" s="458">
        <f>'Calculation Sheet'!H49</f>
        <v>0</v>
      </c>
      <c r="K86" s="451"/>
      <c r="L86" s="451"/>
      <c r="M86" s="452"/>
    </row>
    <row r="87" spans="2:13" hidden="1" outlineLevel="1" x14ac:dyDescent="0.35">
      <c r="B87" s="448"/>
      <c r="C87" s="454"/>
      <c r="D87" s="455"/>
      <c r="E87" s="455"/>
      <c r="F87" s="451" t="str">
        <f>'Calculation Sheet'!B50</f>
        <v>EV-15</v>
      </c>
      <c r="G87" s="451">
        <f>'Calculation Sheet'!E50</f>
        <v>2</v>
      </c>
      <c r="H87" s="458">
        <f>'Calculation Sheet'!F50</f>
        <v>1</v>
      </c>
      <c r="I87" s="451">
        <f>'Calculation Sheet'!G50</f>
        <v>0</v>
      </c>
      <c r="J87" s="458">
        <f>'Calculation Sheet'!H50</f>
        <v>0</v>
      </c>
      <c r="K87" s="451"/>
      <c r="L87" s="451"/>
      <c r="M87" s="452"/>
    </row>
    <row r="88" spans="2:13" hidden="1" outlineLevel="1" x14ac:dyDescent="0.35">
      <c r="B88" s="448"/>
      <c r="C88" s="454"/>
      <c r="D88" s="455"/>
      <c r="E88" s="455"/>
      <c r="F88" s="451" t="str">
        <f>'Calculation Sheet'!B51</f>
        <v>EV-16</v>
      </c>
      <c r="G88" s="451">
        <f>'Calculation Sheet'!E51</f>
        <v>1</v>
      </c>
      <c r="H88" s="458">
        <f>'Calculation Sheet'!F51</f>
        <v>1</v>
      </c>
      <c r="I88" s="451">
        <f>'Calculation Sheet'!G51</f>
        <v>0</v>
      </c>
      <c r="J88" s="458">
        <f>'Calculation Sheet'!H51</f>
        <v>0</v>
      </c>
      <c r="K88" s="451"/>
      <c r="L88" s="451"/>
      <c r="M88" s="452"/>
    </row>
    <row r="89" spans="2:13" hidden="1" outlineLevel="1" x14ac:dyDescent="0.35">
      <c r="B89" s="448"/>
      <c r="C89" s="454"/>
      <c r="D89" s="455"/>
      <c r="E89" s="455"/>
      <c r="F89" s="451" t="str">
        <f>'Calculation Sheet'!B52</f>
        <v>EV-17</v>
      </c>
      <c r="G89" s="451">
        <f>'Calculation Sheet'!E52</f>
        <v>0</v>
      </c>
      <c r="H89" s="458">
        <f>'Calculation Sheet'!F52</f>
        <v>1</v>
      </c>
      <c r="I89" s="451">
        <f>'Calculation Sheet'!G52</f>
        <v>0</v>
      </c>
      <c r="J89" s="458">
        <f>'Calculation Sheet'!H52</f>
        <v>0</v>
      </c>
      <c r="K89" s="451"/>
      <c r="L89" s="451"/>
      <c r="M89" s="452"/>
    </row>
    <row r="90" spans="2:13" hidden="1" outlineLevel="1" x14ac:dyDescent="0.35">
      <c r="B90" s="448"/>
      <c r="C90" s="454"/>
      <c r="D90" s="455"/>
      <c r="E90" s="455"/>
      <c r="F90" s="451" t="str">
        <f>'Calculation Sheet'!B53</f>
        <v>MC-3</v>
      </c>
      <c r="G90" s="451">
        <f>'Calculation Sheet'!E53</f>
        <v>2</v>
      </c>
      <c r="H90" s="458">
        <f>'Calculation Sheet'!F53</f>
        <v>1</v>
      </c>
      <c r="I90" s="451">
        <f>'Calculation Sheet'!G53</f>
        <v>0</v>
      </c>
      <c r="J90" s="458">
        <f>'Calculation Sheet'!H53</f>
        <v>0</v>
      </c>
      <c r="K90" s="451"/>
      <c r="L90" s="451"/>
      <c r="M90" s="452"/>
    </row>
    <row r="91" spans="2:13" hidden="1" outlineLevel="1" x14ac:dyDescent="0.35">
      <c r="B91" s="448"/>
      <c r="C91" s="454"/>
      <c r="D91" s="455"/>
      <c r="E91" s="455"/>
      <c r="F91" s="451" t="str">
        <f>'Calculation Sheet'!B54</f>
        <v>MC-4</v>
      </c>
      <c r="G91" s="451">
        <f>'Calculation Sheet'!E54</f>
        <v>1</v>
      </c>
      <c r="H91" s="458">
        <f>'Calculation Sheet'!F54</f>
        <v>1</v>
      </c>
      <c r="I91" s="451">
        <f>'Calculation Sheet'!G54</f>
        <v>0</v>
      </c>
      <c r="J91" s="458">
        <f>'Calculation Sheet'!H54</f>
        <v>0</v>
      </c>
      <c r="K91" s="451"/>
      <c r="L91" s="451"/>
      <c r="M91" s="452"/>
    </row>
    <row r="92" spans="2:13" hidden="1" outlineLevel="1" x14ac:dyDescent="0.35">
      <c r="B92" s="448"/>
      <c r="C92" s="454"/>
      <c r="D92" s="455"/>
      <c r="E92" s="455"/>
      <c r="F92" s="451" t="str">
        <f>'Calculation Sheet'!B55</f>
        <v>MC-9</v>
      </c>
      <c r="G92" s="451">
        <f>'Calculation Sheet'!E55</f>
        <v>1</v>
      </c>
      <c r="H92" s="458">
        <f>'Calculation Sheet'!F55</f>
        <v>1</v>
      </c>
      <c r="I92" s="451">
        <f>'Calculation Sheet'!G55</f>
        <v>0</v>
      </c>
      <c r="J92" s="458">
        <f>'Calculation Sheet'!H55</f>
        <v>0</v>
      </c>
      <c r="K92" s="451"/>
      <c r="L92" s="451"/>
      <c r="M92" s="452"/>
    </row>
    <row r="93" spans="2:13" hidden="1" outlineLevel="1" x14ac:dyDescent="0.35">
      <c r="B93" s="448"/>
      <c r="C93" s="454"/>
      <c r="D93" s="455"/>
      <c r="E93" s="455"/>
      <c r="F93" s="451" t="str">
        <f>'Calculation Sheet'!B56</f>
        <v>MC-13</v>
      </c>
      <c r="G93" s="451">
        <f>'Calculation Sheet'!E56</f>
        <v>3</v>
      </c>
      <c r="H93" s="458">
        <f>'Calculation Sheet'!F56</f>
        <v>1</v>
      </c>
      <c r="I93" s="451">
        <f>'Calculation Sheet'!G56</f>
        <v>0</v>
      </c>
      <c r="J93" s="458">
        <f>'Calculation Sheet'!H56</f>
        <v>0</v>
      </c>
      <c r="K93" s="451"/>
      <c r="L93" s="451"/>
      <c r="M93" s="452"/>
    </row>
    <row r="94" spans="2:13" hidden="1" outlineLevel="1" x14ac:dyDescent="0.35">
      <c r="B94" s="448"/>
      <c r="C94" s="454"/>
      <c r="D94" s="455"/>
      <c r="E94" s="455"/>
      <c r="F94" s="451" t="str">
        <f>'Calculation Sheet'!B57</f>
        <v>MC-25</v>
      </c>
      <c r="G94" s="451">
        <f>'Calculation Sheet'!E57</f>
        <v>0</v>
      </c>
      <c r="H94" s="458">
        <f>'Calculation Sheet'!F57</f>
        <v>1</v>
      </c>
      <c r="I94" s="451">
        <f>'Calculation Sheet'!G57</f>
        <v>0</v>
      </c>
      <c r="J94" s="458">
        <f>'Calculation Sheet'!H57</f>
        <v>0</v>
      </c>
      <c r="K94" s="451"/>
      <c r="L94" s="451"/>
      <c r="M94" s="452"/>
    </row>
    <row r="95" spans="2:13" hidden="1" outlineLevel="1" x14ac:dyDescent="0.35">
      <c r="B95" s="448"/>
      <c r="C95" s="454"/>
      <c r="D95" s="455"/>
      <c r="E95" s="455"/>
      <c r="F95" s="451" t="str">
        <f>'Calculation Sheet'!B58</f>
        <v>MC-28</v>
      </c>
      <c r="G95" s="451">
        <f>'Calculation Sheet'!E58</f>
        <v>0</v>
      </c>
      <c r="H95" s="458">
        <f>'Calculation Sheet'!F58</f>
        <v>1</v>
      </c>
      <c r="I95" s="451">
        <f>'Calculation Sheet'!G58</f>
        <v>0</v>
      </c>
      <c r="J95" s="458">
        <f>'Calculation Sheet'!H58</f>
        <v>0</v>
      </c>
      <c r="K95" s="451"/>
      <c r="L95" s="451"/>
      <c r="M95" s="452"/>
    </row>
    <row r="96" spans="2:13" hidden="1" outlineLevel="1" x14ac:dyDescent="0.35">
      <c r="B96" s="448"/>
      <c r="C96" s="454"/>
      <c r="D96" s="455"/>
      <c r="E96" s="455"/>
      <c r="F96" s="451" t="str">
        <f>'Calculation Sheet'!B59</f>
        <v>MC-29</v>
      </c>
      <c r="G96" s="451">
        <f>'Calculation Sheet'!E59</f>
        <v>0</v>
      </c>
      <c r="H96" s="458">
        <f>'Calculation Sheet'!F59</f>
        <v>1</v>
      </c>
      <c r="I96" s="451">
        <f>'Calculation Sheet'!G59</f>
        <v>0</v>
      </c>
      <c r="J96" s="458">
        <f>'Calculation Sheet'!H59</f>
        <v>0</v>
      </c>
      <c r="K96" s="451"/>
      <c r="L96" s="451"/>
      <c r="M96" s="452"/>
    </row>
    <row r="97" spans="2:13" ht="15" collapsed="1" thickBot="1" x14ac:dyDescent="0.4">
      <c r="B97" s="469"/>
      <c r="C97" s="470"/>
      <c r="D97" s="471"/>
      <c r="E97" s="471"/>
      <c r="F97" s="470"/>
      <c r="G97" s="470"/>
      <c r="H97" s="470"/>
      <c r="I97" s="470"/>
      <c r="J97" s="470"/>
      <c r="K97" s="470"/>
      <c r="L97" s="470"/>
      <c r="M97" s="472"/>
    </row>
  </sheetData>
  <sheetProtection algorithmName="SHA-512" hashValue="+5j8IX86jf+b1nYa1cIEvXeJ2KCFzCqvE1LxwgoE4uEYstta+QM5037qWGfeneNrKkPukZLDhb1ELpsMYRx9/g==" saltValue="RtiqHkrlwTaxL+ta7HMZew==" spinCount="100000" sheet="1" objects="1" scenarios="1"/>
  <mergeCells count="1">
    <mergeCell ref="C22:D22"/>
  </mergeCells>
  <dataValidations count="1">
    <dataValidation type="list" allowBlank="1" showInputMessage="1" showErrorMessage="1" sqref="D26" xr:uid="{00000000-0002-0000-0600-000000000000}">
      <formula1>"yes,no"</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209"/>
  <sheetViews>
    <sheetView topLeftCell="A11" zoomScale="50" zoomScaleNormal="50" workbookViewId="0">
      <selection activeCell="E11" sqref="E11"/>
    </sheetView>
  </sheetViews>
  <sheetFormatPr defaultColWidth="9.453125" defaultRowHeight="14.5" outlineLevelRow="2" x14ac:dyDescent="0.35"/>
  <cols>
    <col min="1" max="1" width="3.453125" style="481" customWidth="1"/>
    <col min="2" max="2" width="5.453125" style="481" customWidth="1"/>
    <col min="3" max="3" width="14.54296875" style="485" customWidth="1"/>
    <col min="4" max="4" width="60.54296875" style="485" customWidth="1"/>
    <col min="5" max="6" width="20" style="485" customWidth="1"/>
    <col min="7" max="11" width="20" style="523" customWidth="1"/>
    <col min="12" max="12" width="28.453125" style="523" bestFit="1" customWidth="1"/>
    <col min="13" max="13" width="28" style="523" customWidth="1"/>
    <col min="14" max="14" width="20" style="523" customWidth="1"/>
    <col min="15" max="15" width="33.453125" style="523" customWidth="1"/>
    <col min="16" max="16" width="53.54296875" style="485" customWidth="1"/>
    <col min="17" max="17" width="27" style="485" customWidth="1"/>
    <col min="18" max="16384" width="9.453125" style="485"/>
  </cols>
  <sheetData>
    <row r="1" spans="1:27" s="479" customFormat="1" ht="37.5" customHeight="1" thickBot="1" x14ac:dyDescent="0.55000000000000004">
      <c r="A1" s="477"/>
      <c r="B1" s="477"/>
      <c r="C1" s="477" t="s">
        <v>676</v>
      </c>
      <c r="D1" s="478" t="s">
        <v>37</v>
      </c>
      <c r="G1" s="480"/>
      <c r="H1" s="480"/>
      <c r="I1" s="480"/>
      <c r="J1" s="480"/>
      <c r="K1" s="480"/>
      <c r="L1" s="480"/>
      <c r="M1" s="480"/>
      <c r="N1" s="480"/>
      <c r="O1" s="480"/>
      <c r="R1" s="479">
        <f>IF(SUM(R6:R204)&gt;0,1,0)</f>
        <v>1</v>
      </c>
      <c r="S1" s="479">
        <f t="shared" ref="S1:X1" si="0">IF(SUM(S6:S204)&gt;0,1,0)</f>
        <v>1</v>
      </c>
      <c r="T1" s="479">
        <f t="shared" si="0"/>
        <v>1</v>
      </c>
      <c r="U1" s="479">
        <f t="shared" si="0"/>
        <v>1</v>
      </c>
      <c r="V1" s="479">
        <f t="shared" si="0"/>
        <v>0</v>
      </c>
      <c r="W1" s="479">
        <f t="shared" si="0"/>
        <v>1</v>
      </c>
      <c r="X1" s="479">
        <f t="shared" si="0"/>
        <v>1</v>
      </c>
    </row>
    <row r="2" spans="1:27" s="481" customFormat="1" ht="26.25" customHeight="1" thickTop="1" thickBot="1" x14ac:dyDescent="0.4">
      <c r="O2" s="482"/>
    </row>
    <row r="3" spans="1:27" ht="17.25" customHeight="1" thickBot="1" x14ac:dyDescent="0.4">
      <c r="C3" s="483" t="s">
        <v>677</v>
      </c>
      <c r="D3" s="484" t="s">
        <v>678</v>
      </c>
      <c r="E3" s="481"/>
      <c r="F3" s="481"/>
      <c r="G3" s="482"/>
      <c r="H3" s="482"/>
      <c r="I3" s="482"/>
      <c r="J3" s="482"/>
      <c r="K3" s="482"/>
      <c r="L3" s="482"/>
      <c r="M3" s="482"/>
      <c r="N3" s="482"/>
      <c r="O3" s="482"/>
      <c r="P3" s="481"/>
    </row>
    <row r="4" spans="1:27" s="492" customFormat="1" ht="36.75" customHeight="1" thickBot="1" x14ac:dyDescent="0.7">
      <c r="A4" s="481"/>
      <c r="B4" s="486" t="s">
        <v>679</v>
      </c>
      <c r="C4" s="487" t="s">
        <v>22</v>
      </c>
      <c r="D4" s="488" t="str">
        <f>VLOOKUP(C4,overview_of_services!$B$2:$I$88,3,FALSE)</f>
        <v>Heat emission control</v>
      </c>
      <c r="E4" s="489"/>
      <c r="F4" s="490" t="s">
        <v>680</v>
      </c>
      <c r="G4" s="578" t="str">
        <f>VLOOKUP(C4,overview_of_services!$B$2:$I$88,2,FALSE)</f>
        <v>Heat control - demand side</v>
      </c>
      <c r="H4" s="578"/>
      <c r="I4" s="490"/>
      <c r="J4" s="491"/>
      <c r="K4" s="491"/>
      <c r="L4" s="491"/>
      <c r="M4" s="491"/>
      <c r="N4" s="491"/>
      <c r="O4" s="491"/>
      <c r="R4" s="492" t="s">
        <v>681</v>
      </c>
      <c r="S4" s="492">
        <f>ROW()</f>
        <v>4</v>
      </c>
    </row>
    <row r="5" spans="1:27" ht="5.25" customHeight="1" x14ac:dyDescent="0.35">
      <c r="C5" s="493"/>
      <c r="D5" s="493"/>
      <c r="E5" s="493"/>
      <c r="F5" s="493"/>
      <c r="G5" s="493"/>
      <c r="H5" s="493"/>
      <c r="I5" s="493"/>
      <c r="J5" s="493"/>
      <c r="K5" s="493"/>
      <c r="L5" s="493"/>
      <c r="M5" s="493"/>
      <c r="N5" s="493"/>
      <c r="O5" s="494"/>
      <c r="P5" s="481"/>
    </row>
    <row r="6" spans="1:27" ht="20.25" customHeight="1" outlineLevel="1" x14ac:dyDescent="0.35">
      <c r="C6" s="575" t="s">
        <v>682</v>
      </c>
      <c r="D6" s="575"/>
      <c r="E6" s="577" t="s">
        <v>683</v>
      </c>
      <c r="F6" s="577"/>
      <c r="G6" s="577"/>
      <c r="H6" s="577"/>
      <c r="I6" s="577"/>
      <c r="J6" s="577"/>
      <c r="K6" s="577"/>
      <c r="L6" s="573" t="s">
        <v>684</v>
      </c>
      <c r="M6" s="574"/>
      <c r="N6" s="569" t="s">
        <v>685</v>
      </c>
      <c r="O6" s="571" t="s">
        <v>686</v>
      </c>
      <c r="P6" s="481"/>
    </row>
    <row r="7" spans="1:27" ht="36.75" customHeight="1" outlineLevel="1" thickBot="1" x14ac:dyDescent="0.4">
      <c r="C7" s="576"/>
      <c r="D7" s="576"/>
      <c r="E7" s="495" t="s">
        <v>687</v>
      </c>
      <c r="F7" s="495" t="s">
        <v>688</v>
      </c>
      <c r="G7" s="495" t="s">
        <v>689</v>
      </c>
      <c r="H7" s="495" t="s">
        <v>690</v>
      </c>
      <c r="I7" s="495" t="s">
        <v>616</v>
      </c>
      <c r="J7" s="495" t="s">
        <v>691</v>
      </c>
      <c r="K7" s="495" t="s">
        <v>692</v>
      </c>
      <c r="L7" s="496" t="s">
        <v>693</v>
      </c>
      <c r="M7" s="496" t="s">
        <v>694</v>
      </c>
      <c r="N7" s="570"/>
      <c r="O7" s="572"/>
      <c r="P7" s="481"/>
    </row>
    <row r="8" spans="1:27" s="503" customFormat="1" ht="35.25" customHeight="1" outlineLevel="1" thickTop="1" x14ac:dyDescent="0.5">
      <c r="A8" s="481"/>
      <c r="B8" s="481"/>
      <c r="C8" s="497" t="s">
        <v>695</v>
      </c>
      <c r="D8" s="498" t="str">
        <f>VLOOKUP(C4,overview_of_services!$B$2:$I$88,4,FALSE)</f>
        <v>No automatic control</v>
      </c>
      <c r="E8" s="499">
        <v>0</v>
      </c>
      <c r="F8" s="499">
        <v>0</v>
      </c>
      <c r="G8" s="499">
        <v>0</v>
      </c>
      <c r="H8" s="499">
        <v>0</v>
      </c>
      <c r="I8" s="499">
        <v>0</v>
      </c>
      <c r="J8" s="499">
        <v>0</v>
      </c>
      <c r="K8" s="499">
        <v>0</v>
      </c>
      <c r="L8" s="500" t="s">
        <v>696</v>
      </c>
      <c r="M8" s="500" t="s">
        <v>696</v>
      </c>
      <c r="N8" s="501">
        <v>0</v>
      </c>
      <c r="O8" s="502" t="s">
        <v>697</v>
      </c>
      <c r="R8" s="504">
        <f t="shared" ref="R8:S12" si="1">IF(E8=0,0,(IF(E8="+",1,(IF(E8="++",2,(IF(E8="+++",3,(IF(E8="++++",4,(IF(E8="-",-1,(IF(E8="--",-2,(IF(E8="---",-3,(IF(E8="----",-4,"NA")))))))))))))))))</f>
        <v>0</v>
      </c>
      <c r="S8" s="504">
        <f t="shared" si="1"/>
        <v>0</v>
      </c>
      <c r="T8" s="504">
        <f t="shared" ref="T8:X12" si="2">IF(G8=0,0,(IF(G8="+",1,(IF(G8="++",2,(IF(G8="+++",3,(IF(G8="++++",4,(IF(G8="-",-1,(IF(G8="--",-2,(IF(G8="---",-3,(IF(G8="----",-4,"NA")))))))))))))))))</f>
        <v>0</v>
      </c>
      <c r="U8" s="504">
        <f t="shared" si="2"/>
        <v>0</v>
      </c>
      <c r="V8" s="504">
        <f t="shared" si="2"/>
        <v>0</v>
      </c>
      <c r="W8" s="504">
        <f t="shared" si="2"/>
        <v>0</v>
      </c>
      <c r="X8" s="504">
        <f t="shared" si="2"/>
        <v>0</v>
      </c>
      <c r="Y8" s="485"/>
      <c r="Z8" s="485"/>
      <c r="AA8" s="485"/>
    </row>
    <row r="9" spans="1:27" s="503" customFormat="1" ht="35.25" customHeight="1" outlineLevel="1" x14ac:dyDescent="0.5">
      <c r="A9" s="481"/>
      <c r="B9" s="481"/>
      <c r="C9" s="505" t="s">
        <v>699</v>
      </c>
      <c r="D9" s="506" t="str">
        <f>VLOOKUP(C4,overview_of_services!$B$2:$I$88,5,FALSE)</f>
        <v>Central automatic control (e.g. central thermostat)</v>
      </c>
      <c r="E9" s="499" t="s">
        <v>700</v>
      </c>
      <c r="F9" s="499">
        <v>0</v>
      </c>
      <c r="G9" s="499" t="s">
        <v>700</v>
      </c>
      <c r="H9" s="499" t="s">
        <v>700</v>
      </c>
      <c r="I9" s="499">
        <v>0</v>
      </c>
      <c r="J9" s="499">
        <v>0</v>
      </c>
      <c r="K9" s="499">
        <v>0</v>
      </c>
      <c r="L9" s="500" t="s">
        <v>701</v>
      </c>
      <c r="M9" s="500" t="s">
        <v>701</v>
      </c>
      <c r="N9" s="501">
        <v>1</v>
      </c>
      <c r="O9" s="502" t="s">
        <v>702</v>
      </c>
      <c r="P9" s="504"/>
      <c r="R9" s="504">
        <f t="shared" si="1"/>
        <v>1</v>
      </c>
      <c r="S9" s="504">
        <f t="shared" si="1"/>
        <v>0</v>
      </c>
      <c r="T9" s="504">
        <f t="shared" si="2"/>
        <v>1</v>
      </c>
      <c r="U9" s="504">
        <f t="shared" si="2"/>
        <v>1</v>
      </c>
      <c r="V9" s="504">
        <f t="shared" si="2"/>
        <v>0</v>
      </c>
      <c r="W9" s="504">
        <f t="shared" si="2"/>
        <v>0</v>
      </c>
      <c r="X9" s="504">
        <f t="shared" si="2"/>
        <v>0</v>
      </c>
      <c r="Y9" s="485"/>
      <c r="Z9" s="485"/>
      <c r="AA9" s="485"/>
    </row>
    <row r="10" spans="1:27" s="503" customFormat="1" ht="35.25" customHeight="1" outlineLevel="1" x14ac:dyDescent="0.5">
      <c r="A10" s="481"/>
      <c r="B10" s="481"/>
      <c r="C10" s="505" t="s">
        <v>703</v>
      </c>
      <c r="D10" s="506" t="str">
        <f>VLOOKUP(C4,overview_of_services!$B$2:$I$88,6,FALSE)</f>
        <v>Individual room control (e.g. thermostatic valves, or electronic controller)</v>
      </c>
      <c r="E10" s="499" t="s">
        <v>704</v>
      </c>
      <c r="F10" s="499">
        <v>0</v>
      </c>
      <c r="G10" s="499" t="s">
        <v>704</v>
      </c>
      <c r="H10" s="499" t="s">
        <v>704</v>
      </c>
      <c r="I10" s="499">
        <v>0</v>
      </c>
      <c r="J10" s="499">
        <v>0</v>
      </c>
      <c r="K10" s="499">
        <v>0</v>
      </c>
      <c r="L10" s="500" t="s">
        <v>701</v>
      </c>
      <c r="M10" s="500" t="s">
        <v>701</v>
      </c>
      <c r="N10" s="501">
        <v>1</v>
      </c>
      <c r="O10" s="502" t="s">
        <v>705</v>
      </c>
      <c r="P10" s="504"/>
      <c r="R10" s="504">
        <f t="shared" si="1"/>
        <v>2</v>
      </c>
      <c r="S10" s="504">
        <f t="shared" si="1"/>
        <v>0</v>
      </c>
      <c r="T10" s="504">
        <f t="shared" si="2"/>
        <v>2</v>
      </c>
      <c r="U10" s="504">
        <f t="shared" si="2"/>
        <v>2</v>
      </c>
      <c r="V10" s="504">
        <f t="shared" si="2"/>
        <v>0</v>
      </c>
      <c r="W10" s="504">
        <f t="shared" si="2"/>
        <v>0</v>
      </c>
      <c r="X10" s="504">
        <f t="shared" si="2"/>
        <v>0</v>
      </c>
      <c r="Y10" s="485"/>
      <c r="Z10" s="485"/>
      <c r="AA10" s="485"/>
    </row>
    <row r="11" spans="1:27" s="503" customFormat="1" ht="35.25" customHeight="1" outlineLevel="1" x14ac:dyDescent="0.5">
      <c r="A11" s="481"/>
      <c r="B11" s="481"/>
      <c r="C11" s="505" t="s">
        <v>706</v>
      </c>
      <c r="D11" s="506" t="str">
        <f>VLOOKUP(C4,overview_of_services!$B$2:$I$88,7,FALSE)</f>
        <v>Individual room control with communication between controllers and to BACS (e.g. scheduler, room temperature setpoint)</v>
      </c>
      <c r="E11" s="499" t="s">
        <v>704</v>
      </c>
      <c r="F11" s="499">
        <v>0</v>
      </c>
      <c r="G11" s="499" t="s">
        <v>704</v>
      </c>
      <c r="H11" s="499" t="s">
        <v>707</v>
      </c>
      <c r="I11" s="499">
        <v>0</v>
      </c>
      <c r="J11" s="499" t="s">
        <v>700</v>
      </c>
      <c r="K11" s="499">
        <v>0</v>
      </c>
      <c r="L11" s="500" t="s">
        <v>708</v>
      </c>
      <c r="M11" s="500" t="s">
        <v>701</v>
      </c>
      <c r="N11" s="501">
        <v>2</v>
      </c>
      <c r="O11" s="502" t="s">
        <v>709</v>
      </c>
      <c r="P11" s="504"/>
      <c r="R11" s="504">
        <f t="shared" si="1"/>
        <v>2</v>
      </c>
      <c r="S11" s="504">
        <f t="shared" si="1"/>
        <v>0</v>
      </c>
      <c r="T11" s="504">
        <f t="shared" si="2"/>
        <v>2</v>
      </c>
      <c r="U11" s="504">
        <f t="shared" si="2"/>
        <v>3</v>
      </c>
      <c r="V11" s="504">
        <f t="shared" si="2"/>
        <v>0</v>
      </c>
      <c r="W11" s="504">
        <f t="shared" si="2"/>
        <v>1</v>
      </c>
      <c r="X11" s="504">
        <f t="shared" si="2"/>
        <v>0</v>
      </c>
      <c r="Y11" s="485"/>
      <c r="Z11" s="485"/>
      <c r="AA11" s="485"/>
    </row>
    <row r="12" spans="1:27" s="503" customFormat="1" ht="35.25" customHeight="1" outlineLevel="1" x14ac:dyDescent="0.5">
      <c r="A12" s="481"/>
      <c r="B12" s="481"/>
      <c r="C12" s="505" t="s">
        <v>710</v>
      </c>
      <c r="D12" s="506" t="str">
        <f>VLOOKUP(C4,overview_of_services!$B$2:$I$88,8,FALSE)</f>
        <v>Individual room control with communication and presence control</v>
      </c>
      <c r="E12" s="507" t="s">
        <v>707</v>
      </c>
      <c r="F12" s="499">
        <v>0</v>
      </c>
      <c r="G12" s="499" t="s">
        <v>704</v>
      </c>
      <c r="H12" s="499" t="s">
        <v>707</v>
      </c>
      <c r="I12" s="499">
        <v>0</v>
      </c>
      <c r="J12" s="499" t="s">
        <v>700</v>
      </c>
      <c r="K12" s="499">
        <v>0</v>
      </c>
      <c r="L12" s="500" t="s">
        <v>708</v>
      </c>
      <c r="M12" s="500" t="s">
        <v>701</v>
      </c>
      <c r="N12" s="501">
        <v>2</v>
      </c>
      <c r="O12" s="502" t="s">
        <v>711</v>
      </c>
      <c r="P12" s="504"/>
      <c r="R12" s="504">
        <f t="shared" si="1"/>
        <v>3</v>
      </c>
      <c r="S12" s="504">
        <f t="shared" si="1"/>
        <v>0</v>
      </c>
      <c r="T12" s="504">
        <f t="shared" si="2"/>
        <v>2</v>
      </c>
      <c r="U12" s="504">
        <f t="shared" si="2"/>
        <v>3</v>
      </c>
      <c r="V12" s="504">
        <f t="shared" si="2"/>
        <v>0</v>
      </c>
      <c r="W12" s="504">
        <f t="shared" si="2"/>
        <v>1</v>
      </c>
      <c r="X12" s="504">
        <f t="shared" si="2"/>
        <v>0</v>
      </c>
      <c r="Y12" s="485"/>
      <c r="Z12" s="485"/>
      <c r="AA12" s="485"/>
    </row>
    <row r="13" spans="1:27" s="503" customFormat="1" ht="6" customHeight="1" outlineLevel="2" thickBot="1" x14ac:dyDescent="0.4">
      <c r="A13" s="481"/>
      <c r="B13" s="481"/>
      <c r="C13" s="504"/>
      <c r="D13" s="504"/>
      <c r="E13" s="508"/>
      <c r="F13" s="508"/>
      <c r="G13" s="508"/>
      <c r="H13" s="508"/>
      <c r="I13" s="508"/>
      <c r="J13" s="508"/>
      <c r="K13" s="508"/>
      <c r="L13" s="504"/>
      <c r="M13" s="504"/>
      <c r="N13" s="504"/>
      <c r="O13" s="508"/>
      <c r="P13" s="504"/>
    </row>
    <row r="14" spans="1:27" s="503" customFormat="1" ht="30.75" customHeight="1" outlineLevel="2" thickBot="1" x14ac:dyDescent="0.4">
      <c r="A14" s="481"/>
      <c r="B14" s="481"/>
      <c r="C14" s="509"/>
      <c r="D14" s="509" t="s">
        <v>712</v>
      </c>
      <c r="E14" s="510"/>
      <c r="F14" s="511"/>
      <c r="G14" s="511"/>
      <c r="H14" s="511"/>
      <c r="I14" s="511"/>
      <c r="J14" s="511"/>
      <c r="K14" s="511"/>
      <c r="L14" s="511"/>
      <c r="M14" s="511"/>
      <c r="N14" s="511" t="s">
        <v>713</v>
      </c>
      <c r="O14" s="511" t="s">
        <v>713</v>
      </c>
      <c r="P14" s="504"/>
    </row>
    <row r="15" spans="1:27" s="503" customFormat="1" ht="30.75" customHeight="1" outlineLevel="2" thickBot="1" x14ac:dyDescent="0.4">
      <c r="A15" s="481"/>
      <c r="B15" s="481"/>
      <c r="C15" s="509"/>
      <c r="D15" s="509" t="s">
        <v>714</v>
      </c>
      <c r="E15" s="510" t="s">
        <v>30</v>
      </c>
      <c r="F15" s="512"/>
      <c r="G15" s="511"/>
      <c r="H15" s="511"/>
      <c r="I15" s="511"/>
      <c r="J15" s="511"/>
      <c r="K15" s="511"/>
      <c r="L15" s="510" t="s">
        <v>30</v>
      </c>
      <c r="M15" s="510" t="s">
        <v>30</v>
      </c>
      <c r="N15" s="513"/>
      <c r="O15" s="510" t="s">
        <v>30</v>
      </c>
      <c r="P15" s="504"/>
    </row>
    <row r="16" spans="1:27" ht="20.25" customHeight="1" outlineLevel="1" thickBot="1" x14ac:dyDescent="0.4">
      <c r="C16" s="481"/>
      <c r="D16" s="481"/>
      <c r="E16" s="481"/>
      <c r="F16" s="481"/>
      <c r="G16" s="482"/>
      <c r="H16" s="482"/>
      <c r="I16" s="482"/>
      <c r="J16" s="482"/>
      <c r="K16" s="482"/>
      <c r="L16" s="482"/>
      <c r="M16" s="482"/>
      <c r="N16" s="482"/>
      <c r="O16" s="482"/>
      <c r="P16" s="481"/>
    </row>
    <row r="17" spans="1:24" ht="17.25" customHeight="1" thickBot="1" x14ac:dyDescent="0.4">
      <c r="C17" s="483" t="s">
        <v>677</v>
      </c>
      <c r="D17" s="484" t="s">
        <v>678</v>
      </c>
      <c r="E17" s="481"/>
      <c r="F17" s="481"/>
      <c r="G17" s="482"/>
      <c r="H17" s="482"/>
      <c r="I17" s="482"/>
      <c r="J17" s="482"/>
      <c r="K17" s="482"/>
      <c r="L17" s="482"/>
      <c r="M17" s="482"/>
      <c r="N17" s="482"/>
      <c r="O17" s="482"/>
      <c r="P17" s="481"/>
    </row>
    <row r="18" spans="1:24" s="492" customFormat="1" ht="36.75" customHeight="1" thickBot="1" x14ac:dyDescent="0.7">
      <c r="A18" s="481"/>
      <c r="B18" s="486" t="s">
        <v>679</v>
      </c>
      <c r="C18" s="487" t="s">
        <v>38</v>
      </c>
      <c r="D18" s="514" t="str">
        <f>VLOOKUP(C18,overview_of_services!$B$2:$I$88,3,FALSE)</f>
        <v>Emission control for TABS (heating mode)</v>
      </c>
      <c r="E18" s="489"/>
      <c r="F18" s="490" t="s">
        <v>680</v>
      </c>
      <c r="G18" s="578" t="str">
        <f>VLOOKUP(C18,overview_of_services!$B$2:$I$88,2,FALSE)</f>
        <v>Heat control - demand side</v>
      </c>
      <c r="H18" s="578"/>
      <c r="I18" s="490"/>
      <c r="J18" s="491"/>
      <c r="K18" s="491"/>
      <c r="L18" s="491"/>
      <c r="M18" s="491"/>
      <c r="N18" s="491"/>
      <c r="O18" s="491"/>
      <c r="R18" s="492" t="s">
        <v>681</v>
      </c>
      <c r="S18" s="492">
        <f>ROW()</f>
        <v>18</v>
      </c>
    </row>
    <row r="19" spans="1:24" ht="5.25" customHeight="1" x14ac:dyDescent="0.35">
      <c r="C19" s="493"/>
      <c r="D19" s="493"/>
      <c r="E19" s="493"/>
      <c r="F19" s="493"/>
      <c r="G19" s="493"/>
      <c r="H19" s="493"/>
      <c r="I19" s="493"/>
      <c r="J19" s="493"/>
      <c r="K19" s="493"/>
      <c r="L19" s="493"/>
      <c r="M19" s="493"/>
      <c r="N19" s="493"/>
      <c r="O19" s="494"/>
      <c r="P19" s="481"/>
    </row>
    <row r="20" spans="1:24" ht="20.25" customHeight="1" outlineLevel="1" x14ac:dyDescent="0.35">
      <c r="C20" s="575" t="s">
        <v>682</v>
      </c>
      <c r="D20" s="575"/>
      <c r="E20" s="577" t="s">
        <v>683</v>
      </c>
      <c r="F20" s="577"/>
      <c r="G20" s="577"/>
      <c r="H20" s="577"/>
      <c r="I20" s="577"/>
      <c r="J20" s="577"/>
      <c r="K20" s="577"/>
      <c r="L20" s="573" t="s">
        <v>684</v>
      </c>
      <c r="M20" s="574"/>
      <c r="N20" s="569" t="s">
        <v>685</v>
      </c>
      <c r="O20" s="571" t="s">
        <v>686</v>
      </c>
      <c r="P20" s="481"/>
    </row>
    <row r="21" spans="1:24" ht="36.75" customHeight="1" outlineLevel="1" thickBot="1" x14ac:dyDescent="0.4">
      <c r="C21" s="576"/>
      <c r="D21" s="576"/>
      <c r="E21" s="495" t="s">
        <v>687</v>
      </c>
      <c r="F21" s="495" t="s">
        <v>688</v>
      </c>
      <c r="G21" s="495" t="s">
        <v>689</v>
      </c>
      <c r="H21" s="495" t="s">
        <v>690</v>
      </c>
      <c r="I21" s="495" t="s">
        <v>616</v>
      </c>
      <c r="J21" s="495" t="s">
        <v>691</v>
      </c>
      <c r="K21" s="495" t="s">
        <v>692</v>
      </c>
      <c r="L21" s="496" t="s">
        <v>693</v>
      </c>
      <c r="M21" s="496" t="s">
        <v>694</v>
      </c>
      <c r="N21" s="570"/>
      <c r="O21" s="572"/>
      <c r="P21" s="481"/>
    </row>
    <row r="22" spans="1:24" s="503" customFormat="1" ht="35.25" customHeight="1" outlineLevel="1" thickTop="1" x14ac:dyDescent="0.5">
      <c r="A22" s="481"/>
      <c r="B22" s="481"/>
      <c r="C22" s="497" t="s">
        <v>695</v>
      </c>
      <c r="D22" s="498" t="str">
        <f>VLOOKUP(C18,overview_of_services!$B$2:$I$88,4,FALSE)</f>
        <v>No automatic control</v>
      </c>
      <c r="E22" s="499">
        <v>0</v>
      </c>
      <c r="F22" s="499">
        <v>0</v>
      </c>
      <c r="G22" s="499">
        <v>0</v>
      </c>
      <c r="H22" s="499">
        <v>0</v>
      </c>
      <c r="I22" s="499">
        <v>0</v>
      </c>
      <c r="J22" s="499">
        <v>0</v>
      </c>
      <c r="K22" s="499">
        <v>0</v>
      </c>
      <c r="L22" s="500" t="s">
        <v>696</v>
      </c>
      <c r="M22" s="500" t="s">
        <v>696</v>
      </c>
      <c r="N22" s="501">
        <v>0</v>
      </c>
      <c r="O22" s="502" t="s">
        <v>697</v>
      </c>
      <c r="P22" s="504"/>
      <c r="R22" s="504">
        <f t="shared" ref="R22:S26" si="3">IF(E22=0,0,(IF(E22="+",1,(IF(E22="++",2,(IF(E22="+++",3,(IF(E22="++++",4,(IF(E22="-",-1,(IF(E22="--",-2,(IF(E22="---",-3,(IF(E22="----",-4,"NA")))))))))))))))))</f>
        <v>0</v>
      </c>
      <c r="S22" s="504">
        <f t="shared" si="3"/>
        <v>0</v>
      </c>
      <c r="T22" s="504">
        <f t="shared" ref="T22:X26" si="4">IF(G22=0,0,(IF(G22="+",1,(IF(G22="++",2,(IF(G22="+++",3,(IF(G22="++++",4,(IF(G22="-",-1,(IF(G22="--",-2,(IF(G22="---",-3,(IF(G22="----",-4,"NA")))))))))))))))))</f>
        <v>0</v>
      </c>
      <c r="U22" s="504">
        <f t="shared" si="4"/>
        <v>0</v>
      </c>
      <c r="V22" s="504">
        <f t="shared" si="4"/>
        <v>0</v>
      </c>
      <c r="W22" s="504">
        <f t="shared" si="4"/>
        <v>0</v>
      </c>
      <c r="X22" s="504">
        <f t="shared" si="4"/>
        <v>0</v>
      </c>
    </row>
    <row r="23" spans="1:24" s="503" customFormat="1" ht="29" outlineLevel="1" x14ac:dyDescent="0.5">
      <c r="A23" s="481"/>
      <c r="B23" s="481"/>
      <c r="C23" s="505" t="s">
        <v>699</v>
      </c>
      <c r="D23" s="506" t="str">
        <f>VLOOKUP(C18,overview_of_services!$B$2:$I$88,5,FALSE)</f>
        <v>Central automatic control</v>
      </c>
      <c r="E23" s="499" t="s">
        <v>700</v>
      </c>
      <c r="F23" s="499">
        <v>0</v>
      </c>
      <c r="G23" s="499" t="s">
        <v>700</v>
      </c>
      <c r="H23" s="499" t="s">
        <v>700</v>
      </c>
      <c r="I23" s="499">
        <v>0</v>
      </c>
      <c r="J23" s="499">
        <v>0</v>
      </c>
      <c r="K23" s="499">
        <v>0</v>
      </c>
      <c r="L23" s="500" t="s">
        <v>708</v>
      </c>
      <c r="M23" s="500" t="s">
        <v>708</v>
      </c>
      <c r="N23" s="501">
        <v>1</v>
      </c>
      <c r="O23" s="502" t="s">
        <v>715</v>
      </c>
      <c r="P23" s="504"/>
      <c r="R23" s="504">
        <f t="shared" si="3"/>
        <v>1</v>
      </c>
      <c r="S23" s="504">
        <f t="shared" si="3"/>
        <v>0</v>
      </c>
      <c r="T23" s="504">
        <f t="shared" si="4"/>
        <v>1</v>
      </c>
      <c r="U23" s="504">
        <f t="shared" si="4"/>
        <v>1</v>
      </c>
      <c r="V23" s="504">
        <f t="shared" si="4"/>
        <v>0</v>
      </c>
      <c r="W23" s="504">
        <f t="shared" si="4"/>
        <v>0</v>
      </c>
      <c r="X23" s="504">
        <f t="shared" si="4"/>
        <v>0</v>
      </c>
    </row>
    <row r="24" spans="1:24" s="503" customFormat="1" ht="58" outlineLevel="1" x14ac:dyDescent="0.5">
      <c r="A24" s="481"/>
      <c r="B24" s="481"/>
      <c r="C24" s="505" t="s">
        <v>703</v>
      </c>
      <c r="D24" s="506" t="str">
        <f>VLOOKUP(C18,overview_of_services!$B$2:$I$88,6,FALSE)</f>
        <v>Advanced central automatic control</v>
      </c>
      <c r="E24" s="499" t="s">
        <v>700</v>
      </c>
      <c r="F24" s="499">
        <v>0</v>
      </c>
      <c r="G24" s="499" t="s">
        <v>700</v>
      </c>
      <c r="H24" s="499" t="s">
        <v>704</v>
      </c>
      <c r="I24" s="499">
        <v>0</v>
      </c>
      <c r="J24" s="499">
        <v>0</v>
      </c>
      <c r="K24" s="499">
        <v>0</v>
      </c>
      <c r="L24" s="500" t="s">
        <v>708</v>
      </c>
      <c r="M24" s="500" t="s">
        <v>708</v>
      </c>
      <c r="N24" s="501">
        <v>1</v>
      </c>
      <c r="O24" s="502" t="s">
        <v>716</v>
      </c>
      <c r="P24" s="504"/>
      <c r="R24" s="504">
        <f t="shared" si="3"/>
        <v>1</v>
      </c>
      <c r="S24" s="504">
        <f t="shared" si="3"/>
        <v>0</v>
      </c>
      <c r="T24" s="504">
        <f t="shared" si="4"/>
        <v>1</v>
      </c>
      <c r="U24" s="504">
        <f t="shared" si="4"/>
        <v>2</v>
      </c>
      <c r="V24" s="504">
        <f t="shared" si="4"/>
        <v>0</v>
      </c>
      <c r="W24" s="504">
        <f t="shared" si="4"/>
        <v>0</v>
      </c>
      <c r="X24" s="504">
        <f t="shared" si="4"/>
        <v>0</v>
      </c>
    </row>
    <row r="25" spans="1:24" s="503" customFormat="1" ht="35.25" customHeight="1" outlineLevel="1" x14ac:dyDescent="0.5">
      <c r="A25" s="481"/>
      <c r="B25" s="481"/>
      <c r="C25" s="505" t="s">
        <v>706</v>
      </c>
      <c r="D25" s="506" t="str">
        <f>VLOOKUP(C18,overview_of_services!$B$2:$I$88,7,FALSE)</f>
        <v>Advanced central automatic control with intermittent operation and/or room temperature feedback control</v>
      </c>
      <c r="E25" s="499" t="s">
        <v>704</v>
      </c>
      <c r="F25" s="499">
        <v>0</v>
      </c>
      <c r="G25" s="499" t="s">
        <v>704</v>
      </c>
      <c r="H25" s="499" t="s">
        <v>707</v>
      </c>
      <c r="I25" s="499">
        <v>0</v>
      </c>
      <c r="J25" s="499" t="s">
        <v>700</v>
      </c>
      <c r="K25" s="499" t="s">
        <v>700</v>
      </c>
      <c r="L25" s="500" t="s">
        <v>708</v>
      </c>
      <c r="M25" s="500" t="s">
        <v>708</v>
      </c>
      <c r="N25" s="501">
        <v>2</v>
      </c>
      <c r="O25" s="502" t="s">
        <v>717</v>
      </c>
      <c r="P25" s="504"/>
      <c r="R25" s="504">
        <f t="shared" si="3"/>
        <v>2</v>
      </c>
      <c r="S25" s="504">
        <f t="shared" si="3"/>
        <v>0</v>
      </c>
      <c r="T25" s="504">
        <f t="shared" si="4"/>
        <v>2</v>
      </c>
      <c r="U25" s="504">
        <f t="shared" si="4"/>
        <v>3</v>
      </c>
      <c r="V25" s="504">
        <f t="shared" si="4"/>
        <v>0</v>
      </c>
      <c r="W25" s="504">
        <f t="shared" si="4"/>
        <v>1</v>
      </c>
      <c r="X25" s="504">
        <f t="shared" si="4"/>
        <v>1</v>
      </c>
    </row>
    <row r="26" spans="1:24" s="503" customFormat="1" ht="35.25" customHeight="1" outlineLevel="1" x14ac:dyDescent="0.5">
      <c r="A26" s="481"/>
      <c r="B26" s="481"/>
      <c r="C26" s="505" t="s">
        <v>710</v>
      </c>
      <c r="D26" s="506">
        <f>VLOOKUP(C18,overview_of_services!$B$2:$I$88,8,FALSE)</f>
        <v>0</v>
      </c>
      <c r="E26" s="507"/>
      <c r="F26" s="499"/>
      <c r="G26" s="507"/>
      <c r="H26" s="507"/>
      <c r="I26" s="499"/>
      <c r="J26" s="499"/>
      <c r="K26" s="499"/>
      <c r="L26" s="515"/>
      <c r="M26" s="515"/>
      <c r="N26" s="515"/>
      <c r="O26" s="515"/>
      <c r="P26" s="504"/>
      <c r="R26" s="504">
        <f t="shared" si="3"/>
        <v>0</v>
      </c>
      <c r="S26" s="504">
        <f t="shared" si="3"/>
        <v>0</v>
      </c>
      <c r="T26" s="504">
        <f t="shared" si="4"/>
        <v>0</v>
      </c>
      <c r="U26" s="504">
        <f t="shared" si="4"/>
        <v>0</v>
      </c>
      <c r="V26" s="504">
        <f t="shared" si="4"/>
        <v>0</v>
      </c>
      <c r="W26" s="504">
        <f t="shared" si="4"/>
        <v>0</v>
      </c>
      <c r="X26" s="504">
        <f t="shared" si="4"/>
        <v>0</v>
      </c>
    </row>
    <row r="27" spans="1:24" s="503" customFormat="1" ht="6" customHeight="1" outlineLevel="2" thickBot="1" x14ac:dyDescent="0.4">
      <c r="A27" s="481"/>
      <c r="B27" s="481"/>
      <c r="C27" s="504"/>
      <c r="D27" s="504"/>
      <c r="E27" s="508"/>
      <c r="F27" s="508"/>
      <c r="G27" s="508"/>
      <c r="H27" s="508"/>
      <c r="I27" s="508"/>
      <c r="J27" s="508"/>
      <c r="K27" s="508"/>
      <c r="L27" s="504"/>
      <c r="M27" s="504"/>
      <c r="N27" s="504"/>
      <c r="O27" s="508"/>
      <c r="P27" s="504"/>
    </row>
    <row r="28" spans="1:24" s="503" customFormat="1" ht="30.75" customHeight="1" outlineLevel="2" thickBot="1" x14ac:dyDescent="0.4">
      <c r="A28" s="481"/>
      <c r="B28" s="481"/>
      <c r="C28" s="509"/>
      <c r="D28" s="509" t="s">
        <v>712</v>
      </c>
      <c r="E28" s="510" t="s">
        <v>713</v>
      </c>
      <c r="F28" s="511" t="s">
        <v>713</v>
      </c>
      <c r="G28" s="511" t="s">
        <v>713</v>
      </c>
      <c r="H28" s="511" t="s">
        <v>713</v>
      </c>
      <c r="I28" s="511" t="s">
        <v>713</v>
      </c>
      <c r="J28" s="511" t="s">
        <v>713</v>
      </c>
      <c r="K28" s="511" t="s">
        <v>713</v>
      </c>
      <c r="L28" s="511"/>
      <c r="M28" s="511"/>
      <c r="N28" s="511" t="s">
        <v>713</v>
      </c>
      <c r="O28" s="511" t="s">
        <v>713</v>
      </c>
      <c r="P28" s="504"/>
    </row>
    <row r="29" spans="1:24" s="503" customFormat="1" ht="30.75" customHeight="1" outlineLevel="2" thickBot="1" x14ac:dyDescent="0.4">
      <c r="A29" s="481"/>
      <c r="B29" s="481"/>
      <c r="C29" s="509"/>
      <c r="D29" s="509" t="s">
        <v>714</v>
      </c>
      <c r="E29" s="510" t="s">
        <v>30</v>
      </c>
      <c r="F29" s="512"/>
      <c r="G29" s="511"/>
      <c r="H29" s="511"/>
      <c r="I29" s="511"/>
      <c r="J29" s="511"/>
      <c r="K29" s="511"/>
      <c r="L29" s="510" t="s">
        <v>30</v>
      </c>
      <c r="M29" s="510" t="s">
        <v>30</v>
      </c>
      <c r="N29" s="513"/>
      <c r="O29" s="510" t="s">
        <v>30</v>
      </c>
      <c r="P29" s="504"/>
    </row>
    <row r="30" spans="1:24" ht="20.25" customHeight="1" outlineLevel="1" thickBot="1" x14ac:dyDescent="0.4">
      <c r="C30" s="481"/>
      <c r="D30" s="481"/>
      <c r="E30" s="481"/>
      <c r="F30" s="481"/>
      <c r="G30" s="482"/>
      <c r="H30" s="482"/>
      <c r="I30" s="482"/>
      <c r="J30" s="482"/>
      <c r="K30" s="482"/>
      <c r="L30" s="482"/>
      <c r="M30" s="482"/>
      <c r="N30" s="482"/>
      <c r="O30" s="482"/>
      <c r="P30" s="481"/>
    </row>
    <row r="31" spans="1:24" ht="17.25" customHeight="1" thickBot="1" x14ac:dyDescent="0.4">
      <c r="C31" s="483" t="s">
        <v>677</v>
      </c>
      <c r="D31" s="484" t="s">
        <v>678</v>
      </c>
      <c r="E31" s="481"/>
      <c r="F31" s="481"/>
      <c r="G31" s="482"/>
      <c r="H31" s="482"/>
      <c r="I31" s="482"/>
      <c r="J31" s="482"/>
      <c r="K31" s="482"/>
      <c r="L31" s="482"/>
      <c r="M31" s="482"/>
      <c r="N31" s="482"/>
      <c r="O31" s="482"/>
      <c r="P31" s="481"/>
    </row>
    <row r="32" spans="1:24" s="492" customFormat="1" ht="47" thickBot="1" x14ac:dyDescent="0.7">
      <c r="A32" s="481"/>
      <c r="B32" s="486" t="s">
        <v>679</v>
      </c>
      <c r="C32" s="487" t="s">
        <v>46</v>
      </c>
      <c r="D32" s="514" t="str">
        <f>VLOOKUP(C32,overview_of_services!$B$2:$I$88,3,FALSE)</f>
        <v>Control of distribution fluid temperature (supply or return air flow or water flow) - Similar function can be applied to the control of direct electric heating networks</v>
      </c>
      <c r="E32" s="489"/>
      <c r="F32" s="490" t="s">
        <v>680</v>
      </c>
      <c r="G32" s="578" t="str">
        <f>VLOOKUP(C32,overview_of_services!$B$2:$I$88,2,FALSE)</f>
        <v>Heat control - demand side</v>
      </c>
      <c r="H32" s="578"/>
      <c r="I32" s="490"/>
      <c r="J32" s="491"/>
      <c r="K32" s="491"/>
      <c r="L32" s="491"/>
      <c r="M32" s="491"/>
      <c r="N32" s="491"/>
      <c r="O32" s="491"/>
      <c r="R32" s="492" t="s">
        <v>681</v>
      </c>
      <c r="S32" s="492">
        <f>ROW()</f>
        <v>32</v>
      </c>
    </row>
    <row r="33" spans="1:24" ht="5.25" customHeight="1" x14ac:dyDescent="0.35">
      <c r="C33" s="493"/>
      <c r="D33" s="493"/>
      <c r="E33" s="493"/>
      <c r="F33" s="493"/>
      <c r="G33" s="493"/>
      <c r="H33" s="493"/>
      <c r="I33" s="493"/>
      <c r="J33" s="493"/>
      <c r="K33" s="493"/>
      <c r="L33" s="493"/>
      <c r="M33" s="493"/>
      <c r="N33" s="493"/>
      <c r="O33" s="494"/>
      <c r="P33" s="481"/>
    </row>
    <row r="34" spans="1:24" ht="20.25" customHeight="1" outlineLevel="1" x14ac:dyDescent="0.35">
      <c r="C34" s="575" t="s">
        <v>682</v>
      </c>
      <c r="D34" s="575"/>
      <c r="E34" s="577" t="s">
        <v>683</v>
      </c>
      <c r="F34" s="577"/>
      <c r="G34" s="577"/>
      <c r="H34" s="577"/>
      <c r="I34" s="577"/>
      <c r="J34" s="577"/>
      <c r="K34" s="577"/>
      <c r="L34" s="573" t="s">
        <v>684</v>
      </c>
      <c r="M34" s="574"/>
      <c r="N34" s="569" t="s">
        <v>685</v>
      </c>
      <c r="O34" s="571" t="s">
        <v>686</v>
      </c>
      <c r="P34" s="481"/>
    </row>
    <row r="35" spans="1:24" ht="36.75" customHeight="1" outlineLevel="1" thickBot="1" x14ac:dyDescent="0.4">
      <c r="C35" s="576"/>
      <c r="D35" s="576"/>
      <c r="E35" s="495" t="s">
        <v>687</v>
      </c>
      <c r="F35" s="495" t="s">
        <v>688</v>
      </c>
      <c r="G35" s="495" t="s">
        <v>689</v>
      </c>
      <c r="H35" s="495" t="s">
        <v>690</v>
      </c>
      <c r="I35" s="495" t="s">
        <v>616</v>
      </c>
      <c r="J35" s="495" t="s">
        <v>691</v>
      </c>
      <c r="K35" s="495" t="s">
        <v>692</v>
      </c>
      <c r="L35" s="496" t="s">
        <v>693</v>
      </c>
      <c r="M35" s="496" t="s">
        <v>694</v>
      </c>
      <c r="N35" s="570"/>
      <c r="O35" s="572"/>
      <c r="P35" s="481"/>
    </row>
    <row r="36" spans="1:24" s="503" customFormat="1" ht="35.25" customHeight="1" outlineLevel="1" thickTop="1" x14ac:dyDescent="0.5">
      <c r="A36" s="481"/>
      <c r="B36" s="481"/>
      <c r="C36" s="497" t="s">
        <v>695</v>
      </c>
      <c r="D36" s="498" t="str">
        <f>VLOOKUP(C32,overview_of_services!$B$2:$I$88,4,FALSE)</f>
        <v>No automatic control</v>
      </c>
      <c r="E36" s="499">
        <v>0</v>
      </c>
      <c r="F36" s="499">
        <v>0</v>
      </c>
      <c r="G36" s="499">
        <v>0</v>
      </c>
      <c r="H36" s="499">
        <v>0</v>
      </c>
      <c r="I36" s="499">
        <v>0</v>
      </c>
      <c r="J36" s="499">
        <v>0</v>
      </c>
      <c r="K36" s="499">
        <v>0</v>
      </c>
      <c r="L36" s="500" t="s">
        <v>696</v>
      </c>
      <c r="M36" s="500" t="s">
        <v>696</v>
      </c>
      <c r="N36" s="501">
        <v>0</v>
      </c>
      <c r="O36" s="502" t="s">
        <v>697</v>
      </c>
      <c r="P36" s="504"/>
      <c r="R36" s="504">
        <f t="shared" ref="R36:S40" si="5">IF(E36=0,0,(IF(E36="+",1,(IF(E36="++",2,(IF(E36="+++",3,(IF(E36="++++",4,(IF(E36="-",-1,(IF(E36="--",-2,(IF(E36="---",-3,(IF(E36="----",-4,"NA")))))))))))))))))</f>
        <v>0</v>
      </c>
      <c r="S36" s="504">
        <f t="shared" si="5"/>
        <v>0</v>
      </c>
      <c r="T36" s="504">
        <f t="shared" ref="T36:X40" si="6">IF(G36=0,0,(IF(G36="+",1,(IF(G36="++",2,(IF(G36="+++",3,(IF(G36="++++",4,(IF(G36="-",-1,(IF(G36="--",-2,(IF(G36="---",-3,(IF(G36="----",-4,"NA")))))))))))))))))</f>
        <v>0</v>
      </c>
      <c r="U36" s="504">
        <f t="shared" si="6"/>
        <v>0</v>
      </c>
      <c r="V36" s="504">
        <f t="shared" si="6"/>
        <v>0</v>
      </c>
      <c r="W36" s="504">
        <f t="shared" si="6"/>
        <v>0</v>
      </c>
      <c r="X36" s="504">
        <f t="shared" si="6"/>
        <v>0</v>
      </c>
    </row>
    <row r="37" spans="1:24" s="503" customFormat="1" ht="43.5" outlineLevel="1" x14ac:dyDescent="0.5">
      <c r="A37" s="481"/>
      <c r="B37" s="481"/>
      <c r="C37" s="505" t="s">
        <v>699</v>
      </c>
      <c r="D37" s="506" t="str">
        <f>VLOOKUP(C32,overview_of_services!$B$2:$I$88,5,FALSE)</f>
        <v>Outside temperature compensated control</v>
      </c>
      <c r="E37" s="499" t="s">
        <v>700</v>
      </c>
      <c r="F37" s="499">
        <v>0</v>
      </c>
      <c r="G37" s="499" t="s">
        <v>700</v>
      </c>
      <c r="H37" s="499" t="s">
        <v>700</v>
      </c>
      <c r="I37" s="499">
        <v>0</v>
      </c>
      <c r="J37" s="499">
        <v>0</v>
      </c>
      <c r="K37" s="499">
        <v>0</v>
      </c>
      <c r="L37" s="500" t="s">
        <v>718</v>
      </c>
      <c r="M37" s="500" t="s">
        <v>718</v>
      </c>
      <c r="N37" s="501">
        <v>1</v>
      </c>
      <c r="O37" s="502" t="s">
        <v>719</v>
      </c>
      <c r="P37" s="504"/>
      <c r="R37" s="504">
        <f t="shared" si="5"/>
        <v>1</v>
      </c>
      <c r="S37" s="504">
        <f t="shared" si="5"/>
        <v>0</v>
      </c>
      <c r="T37" s="504">
        <f t="shared" si="6"/>
        <v>1</v>
      </c>
      <c r="U37" s="504">
        <f t="shared" si="6"/>
        <v>1</v>
      </c>
      <c r="V37" s="504">
        <f t="shared" si="6"/>
        <v>0</v>
      </c>
      <c r="W37" s="504">
        <f t="shared" si="6"/>
        <v>0</v>
      </c>
      <c r="X37" s="504">
        <f t="shared" si="6"/>
        <v>0</v>
      </c>
    </row>
    <row r="38" spans="1:24" s="503" customFormat="1" ht="35.25" customHeight="1" outlineLevel="1" x14ac:dyDescent="0.5">
      <c r="A38" s="481"/>
      <c r="B38" s="481"/>
      <c r="C38" s="505" t="s">
        <v>703</v>
      </c>
      <c r="D38" s="506" t="str">
        <f>VLOOKUP(C32,overview_of_services!$B$2:$I$88,6,FALSE)</f>
        <v>Demand based control</v>
      </c>
      <c r="E38" s="499" t="s">
        <v>704</v>
      </c>
      <c r="F38" s="499">
        <v>0</v>
      </c>
      <c r="G38" s="499" t="s">
        <v>700</v>
      </c>
      <c r="H38" s="507" t="s">
        <v>704</v>
      </c>
      <c r="I38" s="499">
        <v>0</v>
      </c>
      <c r="J38" s="499" t="s">
        <v>700</v>
      </c>
      <c r="K38" s="499">
        <v>0</v>
      </c>
      <c r="L38" s="500" t="s">
        <v>708</v>
      </c>
      <c r="M38" s="500" t="s">
        <v>718</v>
      </c>
      <c r="N38" s="501">
        <v>2</v>
      </c>
      <c r="O38" s="502" t="s">
        <v>720</v>
      </c>
      <c r="P38" s="504"/>
      <c r="R38" s="504">
        <f t="shared" si="5"/>
        <v>2</v>
      </c>
      <c r="S38" s="504">
        <f t="shared" si="5"/>
        <v>0</v>
      </c>
      <c r="T38" s="504">
        <f t="shared" si="6"/>
        <v>1</v>
      </c>
      <c r="U38" s="504">
        <f t="shared" si="6"/>
        <v>2</v>
      </c>
      <c r="V38" s="504">
        <f t="shared" si="6"/>
        <v>0</v>
      </c>
      <c r="W38" s="504">
        <f t="shared" si="6"/>
        <v>1</v>
      </c>
      <c r="X38" s="504">
        <f t="shared" si="6"/>
        <v>0</v>
      </c>
    </row>
    <row r="39" spans="1:24" s="503" customFormat="1" ht="35.25" customHeight="1" outlineLevel="1" x14ac:dyDescent="0.5">
      <c r="A39" s="481"/>
      <c r="B39" s="481"/>
      <c r="C39" s="505" t="s">
        <v>706</v>
      </c>
      <c r="D39" s="506">
        <f>VLOOKUP(C32,overview_of_services!$B$2:$I$88,7,FALSE)</f>
        <v>0</v>
      </c>
      <c r="E39" s="499"/>
      <c r="F39" s="499"/>
      <c r="G39" s="499"/>
      <c r="H39" s="499"/>
      <c r="I39" s="499"/>
      <c r="J39" s="499"/>
      <c r="K39" s="499"/>
      <c r="L39" s="500" t="s">
        <v>721</v>
      </c>
      <c r="M39" s="500"/>
      <c r="N39" s="501" t="s">
        <v>721</v>
      </c>
      <c r="O39" s="502" t="s">
        <v>721</v>
      </c>
      <c r="P39" s="504"/>
      <c r="R39" s="504">
        <f t="shared" si="5"/>
        <v>0</v>
      </c>
      <c r="S39" s="504">
        <f t="shared" si="5"/>
        <v>0</v>
      </c>
      <c r="T39" s="504">
        <f t="shared" si="6"/>
        <v>0</v>
      </c>
      <c r="U39" s="504">
        <f t="shared" si="6"/>
        <v>0</v>
      </c>
      <c r="V39" s="504">
        <f t="shared" si="6"/>
        <v>0</v>
      </c>
      <c r="W39" s="504">
        <f t="shared" si="6"/>
        <v>0</v>
      </c>
      <c r="X39" s="504">
        <f t="shared" si="6"/>
        <v>0</v>
      </c>
    </row>
    <row r="40" spans="1:24" s="503" customFormat="1" ht="35.25" customHeight="1" outlineLevel="1" x14ac:dyDescent="0.5">
      <c r="A40" s="481"/>
      <c r="B40" s="481"/>
      <c r="C40" s="505" t="s">
        <v>710</v>
      </c>
      <c r="D40" s="506">
        <f>VLOOKUP(C32,overview_of_services!$B$2:$I$88,8,FALSE)</f>
        <v>0</v>
      </c>
      <c r="E40" s="507"/>
      <c r="F40" s="499"/>
      <c r="G40" s="507"/>
      <c r="H40" s="507"/>
      <c r="I40" s="499"/>
      <c r="J40" s="499"/>
      <c r="K40" s="499"/>
      <c r="L40" s="500"/>
      <c r="M40" s="500"/>
      <c r="N40" s="501"/>
      <c r="O40" s="502"/>
      <c r="P40" s="504"/>
      <c r="R40" s="504">
        <f t="shared" si="5"/>
        <v>0</v>
      </c>
      <c r="S40" s="504">
        <f t="shared" si="5"/>
        <v>0</v>
      </c>
      <c r="T40" s="504">
        <f t="shared" si="6"/>
        <v>0</v>
      </c>
      <c r="U40" s="504">
        <f t="shared" si="6"/>
        <v>0</v>
      </c>
      <c r="V40" s="504">
        <f t="shared" si="6"/>
        <v>0</v>
      </c>
      <c r="W40" s="504">
        <f t="shared" si="6"/>
        <v>0</v>
      </c>
      <c r="X40" s="504">
        <f t="shared" si="6"/>
        <v>0</v>
      </c>
    </row>
    <row r="41" spans="1:24" s="503" customFormat="1" ht="6" customHeight="1" outlineLevel="2" thickBot="1" x14ac:dyDescent="0.4">
      <c r="A41" s="481"/>
      <c r="B41" s="481"/>
      <c r="C41" s="504"/>
      <c r="D41" s="504"/>
      <c r="E41" s="508"/>
      <c r="F41" s="508"/>
      <c r="G41" s="508"/>
      <c r="H41" s="508"/>
      <c r="I41" s="508"/>
      <c r="J41" s="508"/>
      <c r="K41" s="508"/>
      <c r="L41" s="504"/>
      <c r="M41" s="504"/>
      <c r="N41" s="504"/>
      <c r="O41" s="508"/>
      <c r="P41" s="504"/>
    </row>
    <row r="42" spans="1:24" s="503" customFormat="1" ht="30.75" customHeight="1" outlineLevel="2" thickBot="1" x14ac:dyDescent="0.4">
      <c r="A42" s="481"/>
      <c r="B42" s="481"/>
      <c r="C42" s="509"/>
      <c r="D42" s="509" t="s">
        <v>712</v>
      </c>
      <c r="E42" s="510" t="s">
        <v>713</v>
      </c>
      <c r="F42" s="511" t="s">
        <v>713</v>
      </c>
      <c r="G42" s="511" t="s">
        <v>713</v>
      </c>
      <c r="H42" s="511" t="s">
        <v>713</v>
      </c>
      <c r="I42" s="511" t="s">
        <v>713</v>
      </c>
      <c r="J42" s="511" t="s">
        <v>713</v>
      </c>
      <c r="K42" s="511" t="s">
        <v>713</v>
      </c>
      <c r="L42" s="511"/>
      <c r="M42" s="511"/>
      <c r="N42" s="511" t="s">
        <v>713</v>
      </c>
      <c r="O42" s="511" t="s">
        <v>713</v>
      </c>
      <c r="P42" s="504"/>
    </row>
    <row r="43" spans="1:24" s="503" customFormat="1" ht="30.75" customHeight="1" outlineLevel="2" thickBot="1" x14ac:dyDescent="0.4">
      <c r="A43" s="481"/>
      <c r="B43" s="481"/>
      <c r="C43" s="509"/>
      <c r="D43" s="509" t="s">
        <v>714</v>
      </c>
      <c r="E43" s="510" t="s">
        <v>30</v>
      </c>
      <c r="F43" s="512"/>
      <c r="G43" s="511"/>
      <c r="H43" s="511"/>
      <c r="I43" s="511"/>
      <c r="J43" s="511"/>
      <c r="K43" s="511"/>
      <c r="L43" s="510" t="s">
        <v>30</v>
      </c>
      <c r="M43" s="510" t="s">
        <v>30</v>
      </c>
      <c r="N43" s="513"/>
      <c r="O43" s="510" t="s">
        <v>30</v>
      </c>
      <c r="P43" s="504"/>
    </row>
    <row r="44" spans="1:24" ht="20.25" customHeight="1" outlineLevel="1" thickBot="1" x14ac:dyDescent="0.4">
      <c r="C44" s="481"/>
      <c r="D44" s="481"/>
      <c r="E44" s="481"/>
      <c r="F44" s="481"/>
      <c r="G44" s="482"/>
      <c r="H44" s="482"/>
      <c r="I44" s="482"/>
      <c r="J44" s="482"/>
      <c r="K44" s="482"/>
      <c r="L44" s="482"/>
      <c r="M44" s="482"/>
      <c r="N44" s="482"/>
      <c r="O44" s="482"/>
      <c r="P44" s="481"/>
    </row>
    <row r="45" spans="1:24" ht="17.25" customHeight="1" thickBot="1" x14ac:dyDescent="0.4">
      <c r="C45" s="483" t="s">
        <v>677</v>
      </c>
      <c r="D45" s="484" t="s">
        <v>678</v>
      </c>
      <c r="E45" s="481"/>
      <c r="F45" s="481"/>
      <c r="G45" s="482"/>
      <c r="H45" s="482"/>
      <c r="I45" s="482"/>
      <c r="J45" s="482"/>
      <c r="K45" s="482"/>
      <c r="L45" s="482"/>
      <c r="M45" s="482"/>
      <c r="N45" s="482"/>
      <c r="O45" s="482"/>
      <c r="P45" s="481"/>
    </row>
    <row r="46" spans="1:24" s="492" customFormat="1" ht="36.75" customHeight="1" thickBot="1" x14ac:dyDescent="0.7">
      <c r="A46" s="481"/>
      <c r="B46" s="486" t="s">
        <v>679</v>
      </c>
      <c r="C46" s="487" t="s">
        <v>52</v>
      </c>
      <c r="D46" s="514" t="str">
        <f>VLOOKUP(C46,overview_of_services!$B$2:$I$88,3,FALSE)</f>
        <v>Control of distribution pumps in networks</v>
      </c>
      <c r="E46" s="489"/>
      <c r="F46" s="490" t="s">
        <v>680</v>
      </c>
      <c r="G46" s="578" t="str">
        <f>VLOOKUP(C46,overview_of_services!$B$2:$I$88,2,FALSE)</f>
        <v>Heat control - demand side</v>
      </c>
      <c r="H46" s="578"/>
      <c r="I46" s="490"/>
      <c r="J46" s="491"/>
      <c r="K46" s="491"/>
      <c r="L46" s="491"/>
      <c r="M46" s="491"/>
      <c r="N46" s="491"/>
      <c r="O46" s="491"/>
      <c r="R46" s="492" t="s">
        <v>681</v>
      </c>
      <c r="S46" s="492">
        <f>ROW()</f>
        <v>46</v>
      </c>
    </row>
    <row r="47" spans="1:24" ht="5.25" customHeight="1" x14ac:dyDescent="0.35">
      <c r="C47" s="493"/>
      <c r="D47" s="493"/>
      <c r="E47" s="493"/>
      <c r="F47" s="493"/>
      <c r="G47" s="493"/>
      <c r="H47" s="493"/>
      <c r="I47" s="493"/>
      <c r="J47" s="493"/>
      <c r="K47" s="493"/>
      <c r="L47" s="493"/>
      <c r="M47" s="493"/>
      <c r="N47" s="493"/>
      <c r="O47" s="494"/>
      <c r="P47" s="481"/>
    </row>
    <row r="48" spans="1:24" ht="20.25" customHeight="1" outlineLevel="1" x14ac:dyDescent="0.35">
      <c r="C48" s="575" t="s">
        <v>682</v>
      </c>
      <c r="D48" s="575"/>
      <c r="E48" s="577" t="s">
        <v>683</v>
      </c>
      <c r="F48" s="577"/>
      <c r="G48" s="577"/>
      <c r="H48" s="577"/>
      <c r="I48" s="577"/>
      <c r="J48" s="577"/>
      <c r="K48" s="577"/>
      <c r="L48" s="573" t="s">
        <v>684</v>
      </c>
      <c r="M48" s="574"/>
      <c r="N48" s="569" t="s">
        <v>685</v>
      </c>
      <c r="O48" s="571" t="s">
        <v>686</v>
      </c>
      <c r="P48" s="481"/>
    </row>
    <row r="49" spans="1:24" ht="36.75" customHeight="1" outlineLevel="1" thickBot="1" x14ac:dyDescent="0.4">
      <c r="C49" s="576"/>
      <c r="D49" s="576"/>
      <c r="E49" s="495" t="s">
        <v>687</v>
      </c>
      <c r="F49" s="495" t="s">
        <v>688</v>
      </c>
      <c r="G49" s="495" t="s">
        <v>689</v>
      </c>
      <c r="H49" s="495" t="s">
        <v>690</v>
      </c>
      <c r="I49" s="495" t="s">
        <v>616</v>
      </c>
      <c r="J49" s="495" t="s">
        <v>691</v>
      </c>
      <c r="K49" s="495" t="s">
        <v>692</v>
      </c>
      <c r="L49" s="496" t="s">
        <v>693</v>
      </c>
      <c r="M49" s="496" t="s">
        <v>694</v>
      </c>
      <c r="N49" s="570"/>
      <c r="O49" s="572"/>
      <c r="P49" s="481"/>
    </row>
    <row r="50" spans="1:24" s="503" customFormat="1" ht="35.25" customHeight="1" outlineLevel="1" thickTop="1" x14ac:dyDescent="0.5">
      <c r="A50" s="481"/>
      <c r="B50" s="481"/>
      <c r="C50" s="497" t="s">
        <v>695</v>
      </c>
      <c r="D50" s="498" t="str">
        <f>VLOOKUP(C46,overview_of_services!$B$2:$I$88,4,FALSE)</f>
        <v>No automatic control</v>
      </c>
      <c r="E50" s="499">
        <v>0</v>
      </c>
      <c r="F50" s="499">
        <v>0</v>
      </c>
      <c r="G50" s="499">
        <v>0</v>
      </c>
      <c r="H50" s="499">
        <v>0</v>
      </c>
      <c r="I50" s="499">
        <v>0</v>
      </c>
      <c r="J50" s="499">
        <v>0</v>
      </c>
      <c r="K50" s="499">
        <v>0</v>
      </c>
      <c r="L50" s="500" t="s">
        <v>696</v>
      </c>
      <c r="M50" s="500" t="s">
        <v>696</v>
      </c>
      <c r="N50" s="501">
        <v>0</v>
      </c>
      <c r="O50" s="502" t="s">
        <v>697</v>
      </c>
      <c r="P50" s="504"/>
      <c r="R50" s="504">
        <f t="shared" ref="R50:S54" si="7">IF(E50=0,0,(IF(E50="+",1,(IF(E50="++",2,(IF(E50="+++",3,(IF(E50="++++",4,(IF(E50="-",-1,(IF(E50="--",-2,(IF(E50="---",-3,(IF(E50="----",-4,"NA")))))))))))))))))</f>
        <v>0</v>
      </c>
      <c r="S50" s="504">
        <f t="shared" si="7"/>
        <v>0</v>
      </c>
      <c r="T50" s="504">
        <f t="shared" ref="T50:X54" si="8">IF(G50=0,0,(IF(G50="+",1,(IF(G50="++",2,(IF(G50="+++",3,(IF(G50="++++",4,(IF(G50="-",-1,(IF(G50="--",-2,(IF(G50="---",-3,(IF(G50="----",-4,"NA")))))))))))))))))</f>
        <v>0</v>
      </c>
      <c r="U50" s="504">
        <f t="shared" si="8"/>
        <v>0</v>
      </c>
      <c r="V50" s="504">
        <f t="shared" si="8"/>
        <v>0</v>
      </c>
      <c r="W50" s="504">
        <f t="shared" si="8"/>
        <v>0</v>
      </c>
      <c r="X50" s="504">
        <f t="shared" si="8"/>
        <v>0</v>
      </c>
    </row>
    <row r="51" spans="1:24" s="503" customFormat="1" ht="35.25" customHeight="1" outlineLevel="1" x14ac:dyDescent="0.5">
      <c r="A51" s="481"/>
      <c r="B51" s="481"/>
      <c r="C51" s="505" t="s">
        <v>699</v>
      </c>
      <c r="D51" s="506" t="str">
        <f>VLOOKUP(C46,overview_of_services!$B$2:$I$88,5,FALSE)</f>
        <v>On off control</v>
      </c>
      <c r="E51" s="499" t="s">
        <v>700</v>
      </c>
      <c r="F51" s="499">
        <v>0</v>
      </c>
      <c r="G51" s="499" t="s">
        <v>700</v>
      </c>
      <c r="H51" s="499">
        <v>0</v>
      </c>
      <c r="I51" s="499">
        <v>0</v>
      </c>
      <c r="J51" s="499">
        <v>0</v>
      </c>
      <c r="K51" s="499">
        <v>0</v>
      </c>
      <c r="L51" s="500" t="s">
        <v>718</v>
      </c>
      <c r="M51" s="500" t="s">
        <v>718</v>
      </c>
      <c r="N51" s="501">
        <v>1</v>
      </c>
      <c r="O51" s="502" t="s">
        <v>722</v>
      </c>
      <c r="P51" s="504"/>
      <c r="R51" s="504">
        <f t="shared" si="7"/>
        <v>1</v>
      </c>
      <c r="S51" s="504">
        <f t="shared" si="7"/>
        <v>0</v>
      </c>
      <c r="T51" s="504">
        <f t="shared" si="8"/>
        <v>1</v>
      </c>
      <c r="U51" s="504">
        <f t="shared" si="8"/>
        <v>0</v>
      </c>
      <c r="V51" s="504">
        <f t="shared" si="8"/>
        <v>0</v>
      </c>
      <c r="W51" s="504">
        <f t="shared" si="8"/>
        <v>0</v>
      </c>
      <c r="X51" s="504">
        <f t="shared" si="8"/>
        <v>0</v>
      </c>
    </row>
    <row r="52" spans="1:24" s="503" customFormat="1" ht="35.25" customHeight="1" outlineLevel="1" x14ac:dyDescent="0.5">
      <c r="A52" s="481"/>
      <c r="B52" s="481"/>
      <c r="C52" s="505" t="s">
        <v>703</v>
      </c>
      <c r="D52" s="506" t="str">
        <f>VLOOKUP(C46,overview_of_services!$B$2:$I$88,6,FALSE)</f>
        <v>Multi-Stage control</v>
      </c>
      <c r="E52" s="499" t="s">
        <v>704</v>
      </c>
      <c r="F52" s="499">
        <v>0</v>
      </c>
      <c r="G52" s="499" t="s">
        <v>704</v>
      </c>
      <c r="H52" s="499">
        <v>0</v>
      </c>
      <c r="I52" s="499">
        <v>0</v>
      </c>
      <c r="J52" s="499">
        <v>0</v>
      </c>
      <c r="K52" s="499">
        <v>0</v>
      </c>
      <c r="L52" s="500" t="s">
        <v>708</v>
      </c>
      <c r="M52" s="500" t="s">
        <v>718</v>
      </c>
      <c r="N52" s="501">
        <v>1</v>
      </c>
      <c r="O52" s="502" t="s">
        <v>723</v>
      </c>
      <c r="P52" s="504"/>
      <c r="R52" s="504">
        <f t="shared" si="7"/>
        <v>2</v>
      </c>
      <c r="S52" s="504">
        <f t="shared" si="7"/>
        <v>0</v>
      </c>
      <c r="T52" s="504">
        <f t="shared" si="8"/>
        <v>2</v>
      </c>
      <c r="U52" s="504">
        <f t="shared" si="8"/>
        <v>0</v>
      </c>
      <c r="V52" s="504">
        <f t="shared" si="8"/>
        <v>0</v>
      </c>
      <c r="W52" s="504">
        <f t="shared" si="8"/>
        <v>0</v>
      </c>
      <c r="X52" s="504">
        <f t="shared" si="8"/>
        <v>0</v>
      </c>
    </row>
    <row r="53" spans="1:24" s="503" customFormat="1" ht="35.25" customHeight="1" outlineLevel="1" x14ac:dyDescent="0.5">
      <c r="A53" s="481"/>
      <c r="B53" s="481"/>
      <c r="C53" s="505" t="s">
        <v>706</v>
      </c>
      <c r="D53" s="506" t="str">
        <f>VLOOKUP(C46,overview_of_services!$B$2:$I$88,7,FALSE)</f>
        <v>Variable speed pump control (pump unit (internal) estimations)</v>
      </c>
      <c r="E53" s="507" t="s">
        <v>707</v>
      </c>
      <c r="F53" s="499">
        <v>0</v>
      </c>
      <c r="G53" s="507" t="s">
        <v>707</v>
      </c>
      <c r="H53" s="499">
        <v>0</v>
      </c>
      <c r="I53" s="499">
        <v>0</v>
      </c>
      <c r="J53" s="499">
        <v>0</v>
      </c>
      <c r="K53" s="499">
        <v>0</v>
      </c>
      <c r="L53" s="500" t="s">
        <v>708</v>
      </c>
      <c r="M53" s="500" t="s">
        <v>718</v>
      </c>
      <c r="N53" s="501">
        <v>2</v>
      </c>
      <c r="O53" s="502" t="s">
        <v>724</v>
      </c>
      <c r="P53" s="504"/>
      <c r="R53" s="504">
        <f t="shared" si="7"/>
        <v>3</v>
      </c>
      <c r="S53" s="504">
        <f t="shared" si="7"/>
        <v>0</v>
      </c>
      <c r="T53" s="504">
        <f t="shared" si="8"/>
        <v>3</v>
      </c>
      <c r="U53" s="504">
        <f t="shared" si="8"/>
        <v>0</v>
      </c>
      <c r="V53" s="504">
        <f t="shared" si="8"/>
        <v>0</v>
      </c>
      <c r="W53" s="504">
        <f t="shared" si="8"/>
        <v>0</v>
      </c>
      <c r="X53" s="504">
        <f t="shared" si="8"/>
        <v>0</v>
      </c>
    </row>
    <row r="54" spans="1:24" s="503" customFormat="1" ht="35.25" customHeight="1" outlineLevel="1" x14ac:dyDescent="0.5">
      <c r="A54" s="481"/>
      <c r="B54" s="481"/>
      <c r="C54" s="505" t="s">
        <v>710</v>
      </c>
      <c r="D54" s="506" t="str">
        <f>VLOOKUP(C46,overview_of_services!$B$2:$I$88,8,FALSE)</f>
        <v>Variable speed pump control (external demand signal)</v>
      </c>
      <c r="E54" s="507" t="s">
        <v>707</v>
      </c>
      <c r="F54" s="499">
        <v>0</v>
      </c>
      <c r="G54" s="507" t="s">
        <v>707</v>
      </c>
      <c r="H54" s="499">
        <v>0</v>
      </c>
      <c r="I54" s="499">
        <v>0</v>
      </c>
      <c r="J54" s="499">
        <v>0</v>
      </c>
      <c r="K54" s="499">
        <v>0</v>
      </c>
      <c r="L54" s="500" t="s">
        <v>708</v>
      </c>
      <c r="M54" s="500" t="s">
        <v>708</v>
      </c>
      <c r="N54" s="501">
        <v>2</v>
      </c>
      <c r="O54" s="502" t="s">
        <v>724</v>
      </c>
      <c r="P54" s="504"/>
      <c r="R54" s="504">
        <f t="shared" si="7"/>
        <v>3</v>
      </c>
      <c r="S54" s="504">
        <f t="shared" si="7"/>
        <v>0</v>
      </c>
      <c r="T54" s="504">
        <f t="shared" si="8"/>
        <v>3</v>
      </c>
      <c r="U54" s="504">
        <f t="shared" si="8"/>
        <v>0</v>
      </c>
      <c r="V54" s="504">
        <f t="shared" si="8"/>
        <v>0</v>
      </c>
      <c r="W54" s="504">
        <f t="shared" si="8"/>
        <v>0</v>
      </c>
      <c r="X54" s="504">
        <f t="shared" si="8"/>
        <v>0</v>
      </c>
    </row>
    <row r="55" spans="1:24" s="503" customFormat="1" ht="6" customHeight="1" outlineLevel="2" thickBot="1" x14ac:dyDescent="0.4">
      <c r="A55" s="481"/>
      <c r="B55" s="481"/>
      <c r="C55" s="504"/>
      <c r="D55" s="504"/>
      <c r="E55" s="508"/>
      <c r="F55" s="508"/>
      <c r="G55" s="508"/>
      <c r="H55" s="508"/>
      <c r="I55" s="508"/>
      <c r="J55" s="508"/>
      <c r="K55" s="508"/>
      <c r="L55" s="504"/>
      <c r="M55" s="504"/>
      <c r="N55" s="504"/>
      <c r="O55" s="508"/>
      <c r="P55" s="504"/>
    </row>
    <row r="56" spans="1:24" s="503" customFormat="1" ht="30.75" customHeight="1" outlineLevel="2" thickBot="1" x14ac:dyDescent="0.4">
      <c r="A56" s="481"/>
      <c r="B56" s="481"/>
      <c r="C56" s="509"/>
      <c r="D56" s="509" t="s">
        <v>712</v>
      </c>
      <c r="E56" s="510" t="s">
        <v>713</v>
      </c>
      <c r="F56" s="511" t="s">
        <v>713</v>
      </c>
      <c r="G56" s="511" t="s">
        <v>713</v>
      </c>
      <c r="H56" s="511" t="s">
        <v>713</v>
      </c>
      <c r="I56" s="511" t="s">
        <v>713</v>
      </c>
      <c r="J56" s="511" t="s">
        <v>713</v>
      </c>
      <c r="K56" s="511" t="s">
        <v>713</v>
      </c>
      <c r="L56" s="511"/>
      <c r="M56" s="511"/>
      <c r="N56" s="511" t="s">
        <v>713</v>
      </c>
      <c r="O56" s="511" t="s">
        <v>713</v>
      </c>
      <c r="P56" s="504"/>
    </row>
    <row r="57" spans="1:24" s="503" customFormat="1" ht="30.75" customHeight="1" outlineLevel="2" thickBot="1" x14ac:dyDescent="0.4">
      <c r="A57" s="481"/>
      <c r="B57" s="481"/>
      <c r="C57" s="509"/>
      <c r="D57" s="509" t="s">
        <v>714</v>
      </c>
      <c r="E57" s="510" t="s">
        <v>30</v>
      </c>
      <c r="F57" s="512"/>
      <c r="G57" s="511"/>
      <c r="H57" s="511"/>
      <c r="I57" s="511"/>
      <c r="J57" s="511"/>
      <c r="K57" s="511"/>
      <c r="L57" s="510" t="s">
        <v>30</v>
      </c>
      <c r="M57" s="510" t="s">
        <v>30</v>
      </c>
      <c r="N57" s="513"/>
      <c r="O57" s="510" t="s">
        <v>30</v>
      </c>
      <c r="P57" s="504"/>
    </row>
    <row r="58" spans="1:24" ht="20.25" customHeight="1" outlineLevel="1" thickBot="1" x14ac:dyDescent="0.4">
      <c r="C58" s="481"/>
      <c r="D58" s="481"/>
      <c r="E58" s="481"/>
      <c r="F58" s="481"/>
      <c r="G58" s="482"/>
      <c r="H58" s="482"/>
      <c r="I58" s="482"/>
      <c r="J58" s="482"/>
      <c r="K58" s="482"/>
      <c r="L58" s="482"/>
      <c r="M58" s="482"/>
      <c r="N58" s="482"/>
      <c r="O58" s="482"/>
      <c r="P58" s="481"/>
    </row>
    <row r="59" spans="1:24" ht="17.25" customHeight="1" thickBot="1" x14ac:dyDescent="0.4">
      <c r="C59" s="483" t="s">
        <v>677</v>
      </c>
      <c r="D59" s="484" t="s">
        <v>678</v>
      </c>
      <c r="E59" s="481"/>
      <c r="F59" s="481"/>
      <c r="G59" s="482"/>
      <c r="H59" s="482"/>
      <c r="I59" s="482"/>
      <c r="J59" s="482"/>
      <c r="K59" s="482"/>
      <c r="L59" s="482"/>
      <c r="M59" s="482"/>
      <c r="N59" s="482"/>
      <c r="O59" s="482"/>
      <c r="P59" s="481"/>
    </row>
    <row r="60" spans="1:24" s="492" customFormat="1" ht="47" thickBot="1" x14ac:dyDescent="0.7">
      <c r="A60" s="481"/>
      <c r="B60" s="486" t="s">
        <v>679</v>
      </c>
      <c r="C60" s="487" t="s">
        <v>62</v>
      </c>
      <c r="D60" s="514" t="str">
        <f>VLOOKUP(C60,overview_of_services!$B$2:$I$88,3,FALSE)</f>
        <v>Intermittent control of emission and/or distribution - One controller can control different rooms/zones having same occupancy patterns</v>
      </c>
      <c r="E60" s="489"/>
      <c r="F60" s="490" t="s">
        <v>680</v>
      </c>
      <c r="G60" s="578" t="str">
        <f>VLOOKUP(C60,overview_of_services!$B$2:$I$88,2,FALSE)</f>
        <v>Heat control - demand side</v>
      </c>
      <c r="H60" s="578"/>
      <c r="I60" s="490"/>
      <c r="J60" s="491"/>
      <c r="K60" s="491"/>
      <c r="L60" s="491"/>
      <c r="M60" s="491"/>
      <c r="N60" s="491"/>
      <c r="O60" s="491"/>
      <c r="R60" s="492" t="s">
        <v>681</v>
      </c>
      <c r="S60" s="492">
        <f>ROW()</f>
        <v>60</v>
      </c>
    </row>
    <row r="61" spans="1:24" ht="5.25" customHeight="1" x14ac:dyDescent="0.35">
      <c r="C61" s="493"/>
      <c r="D61" s="493"/>
      <c r="E61" s="493"/>
      <c r="F61" s="493"/>
      <c r="G61" s="493"/>
      <c r="H61" s="493"/>
      <c r="I61" s="493"/>
      <c r="J61" s="493"/>
      <c r="K61" s="493"/>
      <c r="L61" s="493"/>
      <c r="M61" s="493"/>
      <c r="N61" s="493"/>
      <c r="O61" s="494"/>
      <c r="P61" s="481"/>
    </row>
    <row r="62" spans="1:24" ht="20.25" customHeight="1" outlineLevel="1" x14ac:dyDescent="0.35">
      <c r="C62" s="575" t="s">
        <v>682</v>
      </c>
      <c r="D62" s="575"/>
      <c r="E62" s="577" t="s">
        <v>683</v>
      </c>
      <c r="F62" s="577"/>
      <c r="G62" s="577"/>
      <c r="H62" s="577"/>
      <c r="I62" s="577"/>
      <c r="J62" s="577"/>
      <c r="K62" s="577"/>
      <c r="L62" s="573" t="s">
        <v>684</v>
      </c>
      <c r="M62" s="574"/>
      <c r="N62" s="569" t="s">
        <v>685</v>
      </c>
      <c r="O62" s="571" t="s">
        <v>686</v>
      </c>
      <c r="P62" s="481"/>
    </row>
    <row r="63" spans="1:24" ht="36.75" customHeight="1" outlineLevel="1" thickBot="1" x14ac:dyDescent="0.4">
      <c r="C63" s="576"/>
      <c r="D63" s="576"/>
      <c r="E63" s="495" t="s">
        <v>687</v>
      </c>
      <c r="F63" s="495" t="s">
        <v>688</v>
      </c>
      <c r="G63" s="495" t="s">
        <v>689</v>
      </c>
      <c r="H63" s="495" t="s">
        <v>690</v>
      </c>
      <c r="I63" s="495" t="s">
        <v>616</v>
      </c>
      <c r="J63" s="495" t="s">
        <v>691</v>
      </c>
      <c r="K63" s="495" t="s">
        <v>692</v>
      </c>
      <c r="L63" s="496" t="s">
        <v>693</v>
      </c>
      <c r="M63" s="496" t="s">
        <v>694</v>
      </c>
      <c r="N63" s="570"/>
      <c r="O63" s="572"/>
      <c r="P63" s="481"/>
    </row>
    <row r="64" spans="1:24" s="503" customFormat="1" ht="35.25" customHeight="1" outlineLevel="1" thickTop="1" x14ac:dyDescent="0.5">
      <c r="A64" s="481"/>
      <c r="B64" s="481"/>
      <c r="C64" s="497" t="s">
        <v>695</v>
      </c>
      <c r="D64" s="498" t="str">
        <f>VLOOKUP(C60,overview_of_services!$B$2:$I$88,4,FALSE)</f>
        <v>No automatic control</v>
      </c>
      <c r="E64" s="499">
        <v>0</v>
      </c>
      <c r="F64" s="499">
        <v>0</v>
      </c>
      <c r="G64" s="499">
        <v>0</v>
      </c>
      <c r="H64" s="499">
        <v>0</v>
      </c>
      <c r="I64" s="499">
        <v>0</v>
      </c>
      <c r="J64" s="499">
        <v>0</v>
      </c>
      <c r="K64" s="499">
        <v>0</v>
      </c>
      <c r="L64" s="500" t="s">
        <v>696</v>
      </c>
      <c r="M64" s="500" t="s">
        <v>696</v>
      </c>
      <c r="N64" s="501">
        <v>0</v>
      </c>
      <c r="O64" s="502" t="s">
        <v>697</v>
      </c>
      <c r="P64" s="504"/>
      <c r="R64" s="504">
        <f t="shared" ref="R64:S68" si="9">IF(E64=0,0,(IF(E64="+",1,(IF(E64="++",2,(IF(E64="+++",3,(IF(E64="++++",4,(IF(E64="-",-1,(IF(E64="--",-2,(IF(E64="---",-3,(IF(E64="----",-4,"NA")))))))))))))))))</f>
        <v>0</v>
      </c>
      <c r="S64" s="504">
        <f t="shared" si="9"/>
        <v>0</v>
      </c>
      <c r="T64" s="504">
        <f t="shared" ref="T64:X68" si="10">IF(G64=0,0,(IF(G64="+",1,(IF(G64="++",2,(IF(G64="+++",3,(IF(G64="++++",4,(IF(G64="-",-1,(IF(G64="--",-2,(IF(G64="---",-3,(IF(G64="----",-4,"NA")))))))))))))))))</f>
        <v>0</v>
      </c>
      <c r="U64" s="504">
        <f t="shared" si="10"/>
        <v>0</v>
      </c>
      <c r="V64" s="504">
        <f t="shared" si="10"/>
        <v>0</v>
      </c>
      <c r="W64" s="504">
        <f t="shared" si="10"/>
        <v>0</v>
      </c>
      <c r="X64" s="504">
        <f t="shared" si="10"/>
        <v>0</v>
      </c>
    </row>
    <row r="65" spans="1:24" s="503" customFormat="1" ht="35.25" customHeight="1" outlineLevel="1" x14ac:dyDescent="0.5">
      <c r="A65" s="481"/>
      <c r="B65" s="481"/>
      <c r="C65" s="505" t="s">
        <v>699</v>
      </c>
      <c r="D65" s="506" t="str">
        <f>VLOOKUP(C60,overview_of_services!$B$2:$I$88,5,FALSE)</f>
        <v>Automatic control with fixed time program</v>
      </c>
      <c r="E65" s="499" t="s">
        <v>700</v>
      </c>
      <c r="F65" s="499">
        <v>0</v>
      </c>
      <c r="G65" s="499" t="s">
        <v>700</v>
      </c>
      <c r="H65" s="499" t="s">
        <v>700</v>
      </c>
      <c r="I65" s="499">
        <v>0</v>
      </c>
      <c r="J65" s="499">
        <v>0</v>
      </c>
      <c r="K65" s="499">
        <v>0</v>
      </c>
      <c r="L65" s="500" t="s">
        <v>718</v>
      </c>
      <c r="M65" s="500" t="s">
        <v>718</v>
      </c>
      <c r="N65" s="501">
        <v>1</v>
      </c>
      <c r="O65" s="502" t="s">
        <v>725</v>
      </c>
      <c r="P65" s="504"/>
      <c r="R65" s="504">
        <f t="shared" si="9"/>
        <v>1</v>
      </c>
      <c r="S65" s="504">
        <f t="shared" si="9"/>
        <v>0</v>
      </c>
      <c r="T65" s="504">
        <f t="shared" si="10"/>
        <v>1</v>
      </c>
      <c r="U65" s="504">
        <f t="shared" si="10"/>
        <v>1</v>
      </c>
      <c r="V65" s="504">
        <f t="shared" si="10"/>
        <v>0</v>
      </c>
      <c r="W65" s="504">
        <f t="shared" si="10"/>
        <v>0</v>
      </c>
      <c r="X65" s="504">
        <f t="shared" si="10"/>
        <v>0</v>
      </c>
    </row>
    <row r="66" spans="1:24" s="503" customFormat="1" ht="35.25" customHeight="1" outlineLevel="1" x14ac:dyDescent="0.5">
      <c r="A66" s="481"/>
      <c r="B66" s="481"/>
      <c r="C66" s="505" t="s">
        <v>703</v>
      </c>
      <c r="D66" s="506" t="str">
        <f>VLOOKUP(C60,overview_of_services!$B$2:$I$88,6,FALSE)</f>
        <v>Automatic control with optimum start/stop</v>
      </c>
      <c r="E66" s="499" t="s">
        <v>704</v>
      </c>
      <c r="F66" s="499">
        <v>0</v>
      </c>
      <c r="G66" s="499" t="s">
        <v>704</v>
      </c>
      <c r="H66" s="499" t="s">
        <v>704</v>
      </c>
      <c r="I66" s="499">
        <v>0</v>
      </c>
      <c r="J66" s="499">
        <v>0</v>
      </c>
      <c r="K66" s="499">
        <v>0</v>
      </c>
      <c r="L66" s="500" t="s">
        <v>708</v>
      </c>
      <c r="M66" s="500" t="s">
        <v>718</v>
      </c>
      <c r="N66" s="501">
        <v>1</v>
      </c>
      <c r="O66" s="502" t="s">
        <v>726</v>
      </c>
      <c r="P66" s="504"/>
      <c r="R66" s="504">
        <f t="shared" si="9"/>
        <v>2</v>
      </c>
      <c r="S66" s="504">
        <f t="shared" si="9"/>
        <v>0</v>
      </c>
      <c r="T66" s="504">
        <f t="shared" si="10"/>
        <v>2</v>
      </c>
      <c r="U66" s="504">
        <f t="shared" si="10"/>
        <v>2</v>
      </c>
      <c r="V66" s="504">
        <f t="shared" si="10"/>
        <v>0</v>
      </c>
      <c r="W66" s="504">
        <f t="shared" si="10"/>
        <v>0</v>
      </c>
      <c r="X66" s="504">
        <f t="shared" si="10"/>
        <v>0</v>
      </c>
    </row>
    <row r="67" spans="1:24" s="503" customFormat="1" ht="35.25" customHeight="1" outlineLevel="1" x14ac:dyDescent="0.5">
      <c r="A67" s="481"/>
      <c r="B67" s="481"/>
      <c r="C67" s="505" t="s">
        <v>706</v>
      </c>
      <c r="D67" s="506" t="str">
        <f>VLOOKUP(C60,overview_of_services!$B$2:$I$88,7,FALSE)</f>
        <v>Automatic control with demand evaluation</v>
      </c>
      <c r="E67" s="507" t="s">
        <v>707</v>
      </c>
      <c r="F67" s="499">
        <v>0</v>
      </c>
      <c r="G67" s="507" t="s">
        <v>707</v>
      </c>
      <c r="H67" s="507" t="s">
        <v>707</v>
      </c>
      <c r="I67" s="499">
        <v>0</v>
      </c>
      <c r="J67" s="499">
        <v>0</v>
      </c>
      <c r="K67" s="499">
        <v>0</v>
      </c>
      <c r="L67" s="500" t="s">
        <v>708</v>
      </c>
      <c r="M67" s="500" t="s">
        <v>718</v>
      </c>
      <c r="N67" s="501">
        <v>2</v>
      </c>
      <c r="O67" s="502" t="s">
        <v>727</v>
      </c>
      <c r="P67" s="504"/>
      <c r="R67" s="504">
        <f t="shared" si="9"/>
        <v>3</v>
      </c>
      <c r="S67" s="504">
        <f t="shared" si="9"/>
        <v>0</v>
      </c>
      <c r="T67" s="504">
        <f t="shared" si="10"/>
        <v>3</v>
      </c>
      <c r="U67" s="504">
        <f t="shared" si="10"/>
        <v>3</v>
      </c>
      <c r="V67" s="504">
        <f t="shared" si="10"/>
        <v>0</v>
      </c>
      <c r="W67" s="504">
        <f t="shared" si="10"/>
        <v>0</v>
      </c>
      <c r="X67" s="504">
        <f t="shared" si="10"/>
        <v>0</v>
      </c>
    </row>
    <row r="68" spans="1:24" s="503" customFormat="1" ht="35.25" customHeight="1" outlineLevel="1" x14ac:dyDescent="0.5">
      <c r="A68" s="481"/>
      <c r="B68" s="481"/>
      <c r="C68" s="505" t="s">
        <v>710</v>
      </c>
      <c r="D68" s="506">
        <f>VLOOKUP(C60,overview_of_services!$B$2:$I$88,8,FALSE)</f>
        <v>0</v>
      </c>
      <c r="E68" s="507"/>
      <c r="F68" s="499"/>
      <c r="G68" s="507"/>
      <c r="H68" s="499"/>
      <c r="I68" s="499"/>
      <c r="J68" s="499"/>
      <c r="K68" s="499"/>
      <c r="L68" s="500" t="s">
        <v>728</v>
      </c>
      <c r="M68" s="500"/>
      <c r="N68" s="501">
        <v>2</v>
      </c>
      <c r="O68" s="502" t="s">
        <v>721</v>
      </c>
      <c r="P68" s="504"/>
      <c r="R68" s="504">
        <f t="shared" si="9"/>
        <v>0</v>
      </c>
      <c r="S68" s="504">
        <f t="shared" si="9"/>
        <v>0</v>
      </c>
      <c r="T68" s="504">
        <f t="shared" si="10"/>
        <v>0</v>
      </c>
      <c r="U68" s="504">
        <f t="shared" si="10"/>
        <v>0</v>
      </c>
      <c r="V68" s="504">
        <f t="shared" si="10"/>
        <v>0</v>
      </c>
      <c r="W68" s="504">
        <f t="shared" si="10"/>
        <v>0</v>
      </c>
      <c r="X68" s="504">
        <f t="shared" si="10"/>
        <v>0</v>
      </c>
    </row>
    <row r="69" spans="1:24" s="503" customFormat="1" ht="6" customHeight="1" outlineLevel="2" thickBot="1" x14ac:dyDescent="0.4">
      <c r="A69" s="481"/>
      <c r="B69" s="481"/>
      <c r="C69" s="504"/>
      <c r="D69" s="504"/>
      <c r="E69" s="508"/>
      <c r="F69" s="508"/>
      <c r="G69" s="508"/>
      <c r="H69" s="508"/>
      <c r="I69" s="508"/>
      <c r="J69" s="508"/>
      <c r="K69" s="508"/>
      <c r="L69" s="504"/>
      <c r="M69" s="504"/>
      <c r="N69" s="504"/>
      <c r="O69" s="508"/>
      <c r="P69" s="504"/>
    </row>
    <row r="70" spans="1:24" s="503" customFormat="1" ht="30.75" customHeight="1" outlineLevel="2" thickBot="1" x14ac:dyDescent="0.4">
      <c r="A70" s="481"/>
      <c r="B70" s="481"/>
      <c r="C70" s="509"/>
      <c r="D70" s="509" t="s">
        <v>712</v>
      </c>
      <c r="E70" s="510" t="s">
        <v>713</v>
      </c>
      <c r="F70" s="511" t="s">
        <v>713</v>
      </c>
      <c r="G70" s="511" t="s">
        <v>713</v>
      </c>
      <c r="H70" s="511" t="s">
        <v>713</v>
      </c>
      <c r="I70" s="511" t="s">
        <v>713</v>
      </c>
      <c r="J70" s="511" t="s">
        <v>713</v>
      </c>
      <c r="K70" s="511" t="s">
        <v>713</v>
      </c>
      <c r="L70" s="511"/>
      <c r="M70" s="511"/>
      <c r="N70" s="511" t="s">
        <v>713</v>
      </c>
      <c r="O70" s="511" t="s">
        <v>713</v>
      </c>
      <c r="P70" s="504"/>
    </row>
    <row r="71" spans="1:24" s="503" customFormat="1" ht="30.75" customHeight="1" outlineLevel="2" thickBot="1" x14ac:dyDescent="0.4">
      <c r="A71" s="481"/>
      <c r="B71" s="481"/>
      <c r="C71" s="509"/>
      <c r="D71" s="509" t="s">
        <v>714</v>
      </c>
      <c r="E71" s="510" t="s">
        <v>30</v>
      </c>
      <c r="F71" s="512"/>
      <c r="G71" s="511"/>
      <c r="H71" s="511"/>
      <c r="I71" s="511"/>
      <c r="J71" s="511"/>
      <c r="K71" s="511"/>
      <c r="L71" s="510" t="s">
        <v>30</v>
      </c>
      <c r="M71" s="510" t="s">
        <v>30</v>
      </c>
      <c r="N71" s="513"/>
      <c r="O71" s="510" t="s">
        <v>30</v>
      </c>
      <c r="P71" s="504"/>
    </row>
    <row r="72" spans="1:24" ht="20.25" customHeight="1" outlineLevel="1" thickBot="1" x14ac:dyDescent="0.4">
      <c r="C72" s="481"/>
      <c r="D72" s="481"/>
      <c r="E72" s="481"/>
      <c r="F72" s="481"/>
      <c r="G72" s="482"/>
      <c r="H72" s="482"/>
      <c r="I72" s="482"/>
      <c r="J72" s="482"/>
      <c r="K72" s="482"/>
      <c r="L72" s="482"/>
      <c r="M72" s="482"/>
      <c r="N72" s="482"/>
      <c r="O72" s="482"/>
      <c r="P72" s="481"/>
    </row>
    <row r="73" spans="1:24" ht="17.25" customHeight="1" thickBot="1" x14ac:dyDescent="0.4">
      <c r="C73" s="483" t="s">
        <v>677</v>
      </c>
      <c r="D73" s="484" t="s">
        <v>678</v>
      </c>
      <c r="E73" s="481"/>
      <c r="F73" s="481"/>
      <c r="G73" s="482"/>
      <c r="H73" s="482"/>
      <c r="I73" s="482"/>
      <c r="J73" s="482"/>
      <c r="K73" s="482"/>
      <c r="L73" s="482"/>
      <c r="M73" s="482"/>
      <c r="N73" s="482"/>
      <c r="O73" s="482"/>
      <c r="P73" s="481"/>
    </row>
    <row r="74" spans="1:24" s="492" customFormat="1" ht="36.75" customHeight="1" thickBot="1" x14ac:dyDescent="0.7">
      <c r="A74" s="481"/>
      <c r="B74" s="486" t="s">
        <v>679</v>
      </c>
      <c r="C74" s="487" t="s">
        <v>69</v>
      </c>
      <c r="D74" s="514" t="str">
        <f>VLOOKUP(C74,overview_of_services!$B$2:$I$88,3,FALSE)</f>
        <v>Thermal Energy Storage (TES) for building heating (excluding TABS)</v>
      </c>
      <c r="E74" s="489"/>
      <c r="F74" s="490" t="s">
        <v>680</v>
      </c>
      <c r="G74" s="578" t="str">
        <f>VLOOKUP(C74,overview_of_services!$B$2:$I$88,2,FALSE)</f>
        <v>Heat control - demand side</v>
      </c>
      <c r="H74" s="578"/>
      <c r="I74" s="490"/>
      <c r="J74" s="491"/>
      <c r="K74" s="491"/>
      <c r="L74" s="491"/>
      <c r="M74" s="491"/>
      <c r="N74" s="491"/>
      <c r="O74" s="491"/>
      <c r="R74" s="492" t="s">
        <v>681</v>
      </c>
      <c r="S74" s="492">
        <f>ROW()</f>
        <v>74</v>
      </c>
    </row>
    <row r="75" spans="1:24" ht="5.25" customHeight="1" x14ac:dyDescent="0.35">
      <c r="C75" s="493"/>
      <c r="D75" s="493"/>
      <c r="E75" s="493"/>
      <c r="F75" s="493"/>
      <c r="G75" s="493"/>
      <c r="H75" s="493"/>
      <c r="I75" s="493"/>
      <c r="J75" s="493"/>
      <c r="K75" s="493"/>
      <c r="L75" s="493"/>
      <c r="M75" s="493"/>
      <c r="N75" s="493"/>
      <c r="O75" s="494"/>
      <c r="P75" s="481"/>
    </row>
    <row r="76" spans="1:24" ht="20.25" customHeight="1" outlineLevel="1" x14ac:dyDescent="0.35">
      <c r="C76" s="575" t="s">
        <v>682</v>
      </c>
      <c r="D76" s="575"/>
      <c r="E76" s="579" t="s">
        <v>683</v>
      </c>
      <c r="F76" s="580"/>
      <c r="G76" s="580"/>
      <c r="H76" s="580"/>
      <c r="I76" s="580"/>
      <c r="J76" s="580"/>
      <c r="K76" s="581"/>
      <c r="L76" s="573" t="s">
        <v>684</v>
      </c>
      <c r="M76" s="574"/>
      <c r="N76" s="569" t="s">
        <v>685</v>
      </c>
      <c r="O76" s="571" t="s">
        <v>686</v>
      </c>
      <c r="P76" s="481"/>
    </row>
    <row r="77" spans="1:24" ht="36.75" customHeight="1" outlineLevel="1" thickBot="1" x14ac:dyDescent="0.4">
      <c r="C77" s="576"/>
      <c r="D77" s="576"/>
      <c r="E77" s="495" t="s">
        <v>687</v>
      </c>
      <c r="F77" s="495" t="s">
        <v>688</v>
      </c>
      <c r="G77" s="495" t="s">
        <v>689</v>
      </c>
      <c r="H77" s="495" t="s">
        <v>690</v>
      </c>
      <c r="I77" s="495" t="s">
        <v>616</v>
      </c>
      <c r="J77" s="495" t="s">
        <v>691</v>
      </c>
      <c r="K77" s="495" t="s">
        <v>692</v>
      </c>
      <c r="L77" s="496" t="s">
        <v>693</v>
      </c>
      <c r="M77" s="496" t="s">
        <v>694</v>
      </c>
      <c r="N77" s="570"/>
      <c r="O77" s="572"/>
      <c r="P77" s="481"/>
    </row>
    <row r="78" spans="1:24" s="503" customFormat="1" ht="35.25" customHeight="1" outlineLevel="1" thickTop="1" x14ac:dyDescent="0.5">
      <c r="A78" s="481"/>
      <c r="B78" s="481"/>
      <c r="C78" s="497" t="s">
        <v>695</v>
      </c>
      <c r="D78" s="498" t="str">
        <f>VLOOKUP(C74,overview_of_services!$B$2:$I$88,4,FALSE)</f>
        <v>Continuous storage operation</v>
      </c>
      <c r="E78" s="499">
        <v>0</v>
      </c>
      <c r="F78" s="499">
        <v>0</v>
      </c>
      <c r="G78" s="499">
        <v>0</v>
      </c>
      <c r="H78" s="499">
        <v>0</v>
      </c>
      <c r="I78" s="499">
        <v>0</v>
      </c>
      <c r="J78" s="499">
        <v>0</v>
      </c>
      <c r="K78" s="499">
        <v>0</v>
      </c>
      <c r="L78" s="500" t="s">
        <v>696</v>
      </c>
      <c r="M78" s="500" t="s">
        <v>696</v>
      </c>
      <c r="N78" s="501">
        <v>0</v>
      </c>
      <c r="O78" s="502" t="s">
        <v>721</v>
      </c>
      <c r="P78" s="504"/>
      <c r="R78" s="504">
        <f t="shared" ref="R78:S82" si="11">IF(E78=0,0,(IF(E78="+",1,(IF(E78="++",2,(IF(E78="+++",3,(IF(E78="++++",4,(IF(E78="-",-1,(IF(E78="--",-2,(IF(E78="---",-3,(IF(E78="----",-4,"NA")))))))))))))))))</f>
        <v>0</v>
      </c>
      <c r="S78" s="504">
        <f t="shared" si="11"/>
        <v>0</v>
      </c>
      <c r="T78" s="504">
        <f t="shared" ref="T78:X82" si="12">IF(G78=0,0,(IF(G78="+",1,(IF(G78="++",2,(IF(G78="+++",3,(IF(G78="++++",4,(IF(G78="-",-1,(IF(G78="--",-2,(IF(G78="---",-3,(IF(G78="----",-4,"NA")))))))))))))))))</f>
        <v>0</v>
      </c>
      <c r="U78" s="504">
        <f t="shared" si="12"/>
        <v>0</v>
      </c>
      <c r="V78" s="504">
        <f t="shared" si="12"/>
        <v>0</v>
      </c>
      <c r="W78" s="504">
        <f t="shared" si="12"/>
        <v>0</v>
      </c>
      <c r="X78" s="504">
        <f t="shared" si="12"/>
        <v>0</v>
      </c>
    </row>
    <row r="79" spans="1:24" s="503" customFormat="1" ht="35.25" customHeight="1" outlineLevel="1" x14ac:dyDescent="0.5">
      <c r="A79" s="481"/>
      <c r="B79" s="481"/>
      <c r="C79" s="505" t="s">
        <v>699</v>
      </c>
      <c r="D79" s="506" t="str">
        <f>VLOOKUP(C74,overview_of_services!$B$2:$I$88,5,FALSE)</f>
        <v>Time-scheduled storage operation</v>
      </c>
      <c r="E79" s="499" t="s">
        <v>700</v>
      </c>
      <c r="F79" s="499">
        <v>0</v>
      </c>
      <c r="G79" s="499" t="s">
        <v>700</v>
      </c>
      <c r="H79" s="499">
        <v>0</v>
      </c>
      <c r="I79" s="499">
        <v>0</v>
      </c>
      <c r="J79" s="499">
        <v>0</v>
      </c>
      <c r="K79" s="499">
        <v>0</v>
      </c>
      <c r="L79" s="500" t="s">
        <v>708</v>
      </c>
      <c r="M79" s="500" t="s">
        <v>708</v>
      </c>
      <c r="N79" s="501">
        <v>1</v>
      </c>
      <c r="O79" s="502" t="s">
        <v>721</v>
      </c>
      <c r="P79" s="504"/>
      <c r="R79" s="504">
        <f t="shared" si="11"/>
        <v>1</v>
      </c>
      <c r="S79" s="504">
        <f t="shared" si="11"/>
        <v>0</v>
      </c>
      <c r="T79" s="504">
        <f t="shared" si="12"/>
        <v>1</v>
      </c>
      <c r="U79" s="504">
        <f t="shared" si="12"/>
        <v>0</v>
      </c>
      <c r="V79" s="504">
        <f t="shared" si="12"/>
        <v>0</v>
      </c>
      <c r="W79" s="504">
        <f t="shared" si="12"/>
        <v>0</v>
      </c>
      <c r="X79" s="504">
        <f t="shared" si="12"/>
        <v>0</v>
      </c>
    </row>
    <row r="80" spans="1:24" s="503" customFormat="1" ht="35.25" customHeight="1" outlineLevel="1" x14ac:dyDescent="0.5">
      <c r="A80" s="481"/>
      <c r="B80" s="481"/>
      <c r="C80" s="505" t="s">
        <v>703</v>
      </c>
      <c r="D80" s="506" t="str">
        <f>VLOOKUP(C74,overview_of_services!$B$2:$I$88,6,FALSE)</f>
        <v>Load prediction based storage operation</v>
      </c>
      <c r="E80" s="499" t="s">
        <v>704</v>
      </c>
      <c r="F80" s="499">
        <v>0</v>
      </c>
      <c r="G80" s="499" t="s">
        <v>700</v>
      </c>
      <c r="H80" s="499">
        <v>0</v>
      </c>
      <c r="I80" s="499">
        <v>0</v>
      </c>
      <c r="J80" s="499">
        <v>0</v>
      </c>
      <c r="K80" s="499">
        <v>0</v>
      </c>
      <c r="L80" s="500" t="s">
        <v>708</v>
      </c>
      <c r="M80" s="500" t="s">
        <v>708</v>
      </c>
      <c r="N80" s="501">
        <v>2</v>
      </c>
      <c r="O80" s="502" t="s">
        <v>721</v>
      </c>
      <c r="P80" s="504"/>
      <c r="R80" s="504">
        <f t="shared" si="11"/>
        <v>2</v>
      </c>
      <c r="S80" s="504">
        <f t="shared" si="11"/>
        <v>0</v>
      </c>
      <c r="T80" s="504">
        <f t="shared" si="12"/>
        <v>1</v>
      </c>
      <c r="U80" s="504">
        <f t="shared" si="12"/>
        <v>0</v>
      </c>
      <c r="V80" s="504">
        <f t="shared" si="12"/>
        <v>0</v>
      </c>
      <c r="W80" s="504">
        <f t="shared" si="12"/>
        <v>0</v>
      </c>
      <c r="X80" s="504">
        <f t="shared" si="12"/>
        <v>0</v>
      </c>
    </row>
    <row r="81" spans="1:24" s="503" customFormat="1" ht="35.25" customHeight="1" outlineLevel="1" x14ac:dyDescent="0.5">
      <c r="A81" s="481"/>
      <c r="B81" s="481"/>
      <c r="C81" s="505" t="s">
        <v>706</v>
      </c>
      <c r="D81" s="506">
        <f>VLOOKUP(C74,overview_of_services!$B$2:$I$88,7,FALSE)</f>
        <v>0</v>
      </c>
      <c r="E81" s="499"/>
      <c r="F81" s="499"/>
      <c r="G81" s="499"/>
      <c r="H81" s="499"/>
      <c r="I81" s="499"/>
      <c r="J81" s="499"/>
      <c r="K81" s="499"/>
      <c r="L81" s="500" t="s">
        <v>721</v>
      </c>
      <c r="M81" s="500"/>
      <c r="N81" s="501" t="s">
        <v>721</v>
      </c>
      <c r="O81" s="502" t="s">
        <v>721</v>
      </c>
      <c r="P81" s="504"/>
      <c r="R81" s="504">
        <f t="shared" si="11"/>
        <v>0</v>
      </c>
      <c r="S81" s="504">
        <f t="shared" si="11"/>
        <v>0</v>
      </c>
      <c r="T81" s="504">
        <f t="shared" si="12"/>
        <v>0</v>
      </c>
      <c r="U81" s="504">
        <f t="shared" si="12"/>
        <v>0</v>
      </c>
      <c r="V81" s="504">
        <f t="shared" si="12"/>
        <v>0</v>
      </c>
      <c r="W81" s="504">
        <f t="shared" si="12"/>
        <v>0</v>
      </c>
      <c r="X81" s="504">
        <f t="shared" si="12"/>
        <v>0</v>
      </c>
    </row>
    <row r="82" spans="1:24" s="503" customFormat="1" ht="35.25" customHeight="1" outlineLevel="1" x14ac:dyDescent="0.5">
      <c r="A82" s="481"/>
      <c r="B82" s="481"/>
      <c r="C82" s="505" t="s">
        <v>710</v>
      </c>
      <c r="D82" s="506">
        <f>VLOOKUP(C74,overview_of_services!$B$2:$I$88,8,FALSE)</f>
        <v>0</v>
      </c>
      <c r="E82" s="507"/>
      <c r="F82" s="499"/>
      <c r="G82" s="507"/>
      <c r="H82" s="507"/>
      <c r="I82" s="499"/>
      <c r="J82" s="499"/>
      <c r="K82" s="499"/>
      <c r="L82" s="500"/>
      <c r="M82" s="500"/>
      <c r="N82" s="501"/>
      <c r="O82" s="502"/>
      <c r="P82" s="504"/>
      <c r="R82" s="504">
        <f t="shared" si="11"/>
        <v>0</v>
      </c>
      <c r="S82" s="504">
        <f t="shared" si="11"/>
        <v>0</v>
      </c>
      <c r="T82" s="504">
        <f t="shared" si="12"/>
        <v>0</v>
      </c>
      <c r="U82" s="504">
        <f t="shared" si="12"/>
        <v>0</v>
      </c>
      <c r="V82" s="504">
        <f t="shared" si="12"/>
        <v>0</v>
      </c>
      <c r="W82" s="504">
        <f t="shared" si="12"/>
        <v>0</v>
      </c>
      <c r="X82" s="504">
        <f t="shared" si="12"/>
        <v>0</v>
      </c>
    </row>
    <row r="83" spans="1:24" s="503" customFormat="1" ht="6" customHeight="1" outlineLevel="2" thickBot="1" x14ac:dyDescent="0.4">
      <c r="A83" s="481"/>
      <c r="B83" s="481"/>
      <c r="C83" s="504"/>
      <c r="D83" s="504"/>
      <c r="E83" s="508"/>
      <c r="F83" s="508"/>
      <c r="G83" s="508"/>
      <c r="H83" s="508"/>
      <c r="I83" s="508"/>
      <c r="J83" s="508"/>
      <c r="K83" s="508"/>
      <c r="L83" s="504"/>
      <c r="M83" s="504"/>
      <c r="N83" s="504"/>
      <c r="O83" s="508"/>
      <c r="P83" s="504"/>
    </row>
    <row r="84" spans="1:24" s="503" customFormat="1" ht="30.75" customHeight="1" outlineLevel="2" thickBot="1" x14ac:dyDescent="0.4">
      <c r="A84" s="481"/>
      <c r="B84" s="481"/>
      <c r="C84" s="509"/>
      <c r="D84" s="509" t="s">
        <v>712</v>
      </c>
      <c r="E84" s="510" t="s">
        <v>713</v>
      </c>
      <c r="F84" s="511" t="s">
        <v>713</v>
      </c>
      <c r="G84" s="511" t="s">
        <v>713</v>
      </c>
      <c r="H84" s="511" t="s">
        <v>713</v>
      </c>
      <c r="I84" s="511" t="s">
        <v>713</v>
      </c>
      <c r="J84" s="511" t="s">
        <v>713</v>
      </c>
      <c r="K84" s="511" t="s">
        <v>713</v>
      </c>
      <c r="L84" s="511" t="s">
        <v>729</v>
      </c>
      <c r="M84" s="511" t="s">
        <v>729</v>
      </c>
      <c r="N84" s="511" t="s">
        <v>713</v>
      </c>
      <c r="O84" s="511" t="s">
        <v>713</v>
      </c>
      <c r="P84" s="504"/>
    </row>
    <row r="85" spans="1:24" s="503" customFormat="1" ht="30.75" customHeight="1" outlineLevel="2" thickBot="1" x14ac:dyDescent="0.4">
      <c r="A85" s="481"/>
      <c r="B85" s="481"/>
      <c r="C85" s="509"/>
      <c r="D85" s="509" t="s">
        <v>714</v>
      </c>
      <c r="E85" s="510" t="s">
        <v>30</v>
      </c>
      <c r="F85" s="512"/>
      <c r="G85" s="511"/>
      <c r="H85" s="511"/>
      <c r="I85" s="511"/>
      <c r="J85" s="511"/>
      <c r="K85" s="511"/>
      <c r="L85" s="510" t="s">
        <v>30</v>
      </c>
      <c r="M85" s="510" t="s">
        <v>30</v>
      </c>
      <c r="N85" s="513"/>
      <c r="O85" s="516"/>
      <c r="P85" s="504"/>
    </row>
    <row r="86" spans="1:24" ht="20.25" customHeight="1" outlineLevel="1" thickBot="1" x14ac:dyDescent="0.4">
      <c r="C86" s="481"/>
      <c r="D86" s="481"/>
      <c r="E86" s="481"/>
      <c r="F86" s="481"/>
      <c r="G86" s="482"/>
      <c r="H86" s="482"/>
      <c r="I86" s="482"/>
      <c r="J86" s="482"/>
      <c r="K86" s="482"/>
      <c r="L86" s="482"/>
      <c r="M86" s="482"/>
      <c r="N86" s="482"/>
      <c r="O86" s="482"/>
      <c r="P86" s="481"/>
    </row>
    <row r="87" spans="1:24" ht="17.25" customHeight="1" thickBot="1" x14ac:dyDescent="0.4">
      <c r="C87" s="483" t="s">
        <v>677</v>
      </c>
      <c r="D87" s="484" t="s">
        <v>678</v>
      </c>
      <c r="E87" s="481"/>
      <c r="F87" s="481"/>
      <c r="G87" s="482"/>
      <c r="H87" s="482"/>
      <c r="I87" s="482"/>
      <c r="J87" s="482"/>
      <c r="K87" s="482"/>
      <c r="L87" s="482"/>
      <c r="M87" s="482"/>
      <c r="N87" s="482"/>
      <c r="O87" s="482"/>
      <c r="P87" s="481"/>
    </row>
    <row r="88" spans="1:24" s="492" customFormat="1" ht="36.75" customHeight="1" thickBot="1" x14ac:dyDescent="0.7">
      <c r="A88" s="481"/>
      <c r="B88" s="486" t="s">
        <v>679</v>
      </c>
      <c r="C88" s="487" t="s">
        <v>76</v>
      </c>
      <c r="D88" s="514" t="str">
        <f>VLOOKUP(C88,overview_of_services!$B$2:$I$88,3,FALSE)</f>
        <v>Building preheating control</v>
      </c>
      <c r="E88" s="489"/>
      <c r="F88" s="490" t="s">
        <v>680</v>
      </c>
      <c r="G88" s="578" t="str">
        <f>VLOOKUP(C88,overview_of_services!$B$2:$I$88,2,FALSE)</f>
        <v>Heat control - demand side</v>
      </c>
      <c r="H88" s="578"/>
      <c r="I88" s="490"/>
      <c r="J88" s="491"/>
      <c r="K88" s="491"/>
      <c r="L88" s="491"/>
      <c r="M88" s="491"/>
      <c r="N88" s="491"/>
      <c r="O88" s="491"/>
      <c r="R88" s="492" t="s">
        <v>681</v>
      </c>
      <c r="S88" s="492">
        <f>ROW()</f>
        <v>88</v>
      </c>
    </row>
    <row r="89" spans="1:24" ht="5.25" customHeight="1" x14ac:dyDescent="0.35">
      <c r="C89" s="493"/>
      <c r="D89" s="493"/>
      <c r="E89" s="493"/>
      <c r="F89" s="493"/>
      <c r="G89" s="493"/>
      <c r="H89" s="493"/>
      <c r="I89" s="493"/>
      <c r="J89" s="493"/>
      <c r="K89" s="493"/>
      <c r="L89" s="493"/>
      <c r="M89" s="493"/>
      <c r="N89" s="493"/>
      <c r="O89" s="494"/>
      <c r="P89" s="481"/>
    </row>
    <row r="90" spans="1:24" ht="20.25" customHeight="1" outlineLevel="1" x14ac:dyDescent="0.35">
      <c r="C90" s="575" t="s">
        <v>682</v>
      </c>
      <c r="D90" s="575"/>
      <c r="E90" s="577" t="s">
        <v>683</v>
      </c>
      <c r="F90" s="577"/>
      <c r="G90" s="577"/>
      <c r="H90" s="577"/>
      <c r="I90" s="577"/>
      <c r="J90" s="577"/>
      <c r="K90" s="577"/>
      <c r="L90" s="573" t="s">
        <v>684</v>
      </c>
      <c r="M90" s="574"/>
      <c r="N90" s="569" t="s">
        <v>685</v>
      </c>
      <c r="O90" s="571" t="s">
        <v>686</v>
      </c>
      <c r="P90" s="481"/>
    </row>
    <row r="91" spans="1:24" ht="36.75" customHeight="1" outlineLevel="1" thickBot="1" x14ac:dyDescent="0.4">
      <c r="C91" s="576"/>
      <c r="D91" s="576"/>
      <c r="E91" s="495" t="s">
        <v>687</v>
      </c>
      <c r="F91" s="495" t="s">
        <v>688</v>
      </c>
      <c r="G91" s="495" t="s">
        <v>689</v>
      </c>
      <c r="H91" s="495" t="s">
        <v>690</v>
      </c>
      <c r="I91" s="495" t="s">
        <v>616</v>
      </c>
      <c r="J91" s="495" t="s">
        <v>691</v>
      </c>
      <c r="K91" s="495" t="s">
        <v>692</v>
      </c>
      <c r="L91" s="496" t="s">
        <v>693</v>
      </c>
      <c r="M91" s="496" t="s">
        <v>694</v>
      </c>
      <c r="N91" s="570"/>
      <c r="O91" s="572"/>
      <c r="P91" s="481"/>
    </row>
    <row r="92" spans="1:24" s="503" customFormat="1" ht="35.25" customHeight="1" outlineLevel="1" thickTop="1" x14ac:dyDescent="0.5">
      <c r="A92" s="481"/>
      <c r="B92" s="481"/>
      <c r="C92" s="497" t="s">
        <v>695</v>
      </c>
      <c r="D92" s="498" t="str">
        <f>VLOOKUP(C88,overview_of_services!$B$2:$I$88,4,FALSE)</f>
        <v>No automatic control</v>
      </c>
      <c r="E92" s="499">
        <v>0</v>
      </c>
      <c r="F92" s="499">
        <v>0</v>
      </c>
      <c r="G92" s="499">
        <v>0</v>
      </c>
      <c r="H92" s="499">
        <v>0</v>
      </c>
      <c r="I92" s="499">
        <v>0</v>
      </c>
      <c r="J92" s="499">
        <v>0</v>
      </c>
      <c r="K92" s="499">
        <v>0</v>
      </c>
      <c r="L92" s="500" t="s">
        <v>696</v>
      </c>
      <c r="M92" s="500" t="s">
        <v>696</v>
      </c>
      <c r="N92" s="501">
        <v>0</v>
      </c>
      <c r="O92" s="502" t="s">
        <v>721</v>
      </c>
      <c r="P92" s="504"/>
      <c r="R92" s="504">
        <f t="shared" ref="R92:S96" si="13">IF(E92=0,0,(IF(E92="+",1,(IF(E92="++",2,(IF(E92="+++",3,(IF(E92="++++",4,(IF(E92="-",-1,(IF(E92="--",-2,(IF(E92="---",-3,(IF(E92="----",-4,"NA")))))))))))))))))</f>
        <v>0</v>
      </c>
      <c r="S92" s="504">
        <f t="shared" si="13"/>
        <v>0</v>
      </c>
      <c r="T92" s="504">
        <f t="shared" ref="T92:X96" si="14">IF(G92=0,0,(IF(G92="+",1,(IF(G92="++",2,(IF(G92="+++",3,(IF(G92="++++",4,(IF(G92="-",-1,(IF(G92="--",-2,(IF(G92="---",-3,(IF(G92="----",-4,"NA")))))))))))))))))</f>
        <v>0</v>
      </c>
      <c r="U92" s="504">
        <f t="shared" si="14"/>
        <v>0</v>
      </c>
      <c r="V92" s="504">
        <f t="shared" si="14"/>
        <v>0</v>
      </c>
      <c r="W92" s="504">
        <f t="shared" si="14"/>
        <v>0</v>
      </c>
      <c r="X92" s="504">
        <f t="shared" si="14"/>
        <v>0</v>
      </c>
    </row>
    <row r="93" spans="1:24" s="503" customFormat="1" ht="35.25" customHeight="1" outlineLevel="1" x14ac:dyDescent="0.5">
      <c r="A93" s="481"/>
      <c r="B93" s="481"/>
      <c r="C93" s="505" t="s">
        <v>699</v>
      </c>
      <c r="D93" s="506" t="str">
        <f>VLOOKUP(C88,overview_of_services!$B$2:$I$88,5,FALSE)</f>
        <v>Program heating schedule in advance</v>
      </c>
      <c r="E93" s="499" t="s">
        <v>700</v>
      </c>
      <c r="F93" s="499">
        <v>0</v>
      </c>
      <c r="G93" s="499" t="s">
        <v>700</v>
      </c>
      <c r="H93" s="499" t="s">
        <v>700</v>
      </c>
      <c r="I93" s="499">
        <v>0</v>
      </c>
      <c r="J93" s="499">
        <v>0</v>
      </c>
      <c r="K93" s="499" t="s">
        <v>700</v>
      </c>
      <c r="L93" s="500" t="s">
        <v>708</v>
      </c>
      <c r="M93" s="500" t="s">
        <v>718</v>
      </c>
      <c r="N93" s="501">
        <v>1</v>
      </c>
      <c r="O93" s="502" t="s">
        <v>721</v>
      </c>
      <c r="P93" s="504"/>
      <c r="R93" s="504">
        <f t="shared" si="13"/>
        <v>1</v>
      </c>
      <c r="S93" s="504">
        <f t="shared" si="13"/>
        <v>0</v>
      </c>
      <c r="T93" s="504">
        <f t="shared" si="14"/>
        <v>1</v>
      </c>
      <c r="U93" s="504">
        <f t="shared" si="14"/>
        <v>1</v>
      </c>
      <c r="V93" s="504">
        <f t="shared" si="14"/>
        <v>0</v>
      </c>
      <c r="W93" s="504">
        <f t="shared" si="14"/>
        <v>0</v>
      </c>
      <c r="X93" s="504">
        <f t="shared" si="14"/>
        <v>1</v>
      </c>
    </row>
    <row r="94" spans="1:24" s="503" customFormat="1" ht="35.25" customHeight="1" outlineLevel="1" x14ac:dyDescent="0.5">
      <c r="A94" s="481"/>
      <c r="B94" s="481"/>
      <c r="C94" s="505" t="s">
        <v>703</v>
      </c>
      <c r="D94" s="506" t="str">
        <f>VLOOKUP(C88,overview_of_services!$B$2:$I$88,6,FALSE)</f>
        <v>Thermostat self-learning user behavior (presence, setpoint)</v>
      </c>
      <c r="E94" s="507" t="s">
        <v>704</v>
      </c>
      <c r="F94" s="499">
        <v>0</v>
      </c>
      <c r="G94" s="507" t="s">
        <v>704</v>
      </c>
      <c r="H94" s="507" t="s">
        <v>704</v>
      </c>
      <c r="I94" s="499">
        <v>0</v>
      </c>
      <c r="J94" s="499">
        <v>0</v>
      </c>
      <c r="K94" s="499" t="s">
        <v>700</v>
      </c>
      <c r="L94" s="500" t="s">
        <v>708</v>
      </c>
      <c r="M94" s="500" t="s">
        <v>708</v>
      </c>
      <c r="N94" s="501">
        <v>2</v>
      </c>
      <c r="O94" s="502" t="s">
        <v>721</v>
      </c>
      <c r="P94" s="504"/>
      <c r="R94" s="504">
        <f t="shared" si="13"/>
        <v>2</v>
      </c>
      <c r="S94" s="504">
        <f t="shared" si="13"/>
        <v>0</v>
      </c>
      <c r="T94" s="504">
        <f t="shared" si="14"/>
        <v>2</v>
      </c>
      <c r="U94" s="504">
        <f t="shared" si="14"/>
        <v>2</v>
      </c>
      <c r="V94" s="504">
        <f t="shared" si="14"/>
        <v>0</v>
      </c>
      <c r="W94" s="504">
        <f t="shared" si="14"/>
        <v>0</v>
      </c>
      <c r="X94" s="504">
        <f t="shared" si="14"/>
        <v>1</v>
      </c>
    </row>
    <row r="95" spans="1:24" s="503" customFormat="1" ht="35.25" customHeight="1" outlineLevel="1" x14ac:dyDescent="0.5">
      <c r="A95" s="481"/>
      <c r="B95" s="481"/>
      <c r="C95" s="505" t="s">
        <v>706</v>
      </c>
      <c r="D95" s="506">
        <f>VLOOKUP(C88,overview_of_services!$B$2:$I$88,7,FALSE)</f>
        <v>0</v>
      </c>
      <c r="E95" s="499"/>
      <c r="F95" s="499"/>
      <c r="G95" s="499"/>
      <c r="H95" s="499"/>
      <c r="I95" s="499"/>
      <c r="J95" s="499"/>
      <c r="K95" s="499"/>
      <c r="L95" s="500" t="s">
        <v>721</v>
      </c>
      <c r="M95" s="500"/>
      <c r="N95" s="501" t="s">
        <v>721</v>
      </c>
      <c r="O95" s="502" t="s">
        <v>721</v>
      </c>
      <c r="P95" s="504"/>
      <c r="R95" s="504">
        <f t="shared" si="13"/>
        <v>0</v>
      </c>
      <c r="S95" s="504">
        <f t="shared" si="13"/>
        <v>0</v>
      </c>
      <c r="T95" s="504">
        <f t="shared" si="14"/>
        <v>0</v>
      </c>
      <c r="U95" s="504">
        <f t="shared" si="14"/>
        <v>0</v>
      </c>
      <c r="V95" s="504">
        <f t="shared" si="14"/>
        <v>0</v>
      </c>
      <c r="W95" s="504">
        <f t="shared" si="14"/>
        <v>0</v>
      </c>
      <c r="X95" s="504">
        <f t="shared" si="14"/>
        <v>0</v>
      </c>
    </row>
    <row r="96" spans="1:24" s="503" customFormat="1" ht="35.25" customHeight="1" outlineLevel="1" x14ac:dyDescent="0.5">
      <c r="A96" s="481"/>
      <c r="B96" s="481"/>
      <c r="C96" s="505" t="s">
        <v>710</v>
      </c>
      <c r="D96" s="506">
        <f>VLOOKUP(C88,overview_of_services!$B$2:$I$88,8,FALSE)</f>
        <v>0</v>
      </c>
      <c r="E96" s="507"/>
      <c r="F96" s="499"/>
      <c r="G96" s="507"/>
      <c r="H96" s="507"/>
      <c r="I96" s="499"/>
      <c r="J96" s="499"/>
      <c r="K96" s="499"/>
      <c r="L96" s="500"/>
      <c r="M96" s="500"/>
      <c r="N96" s="501"/>
      <c r="O96" s="502"/>
      <c r="P96" s="504"/>
      <c r="R96" s="504">
        <f t="shared" si="13"/>
        <v>0</v>
      </c>
      <c r="S96" s="504">
        <f t="shared" si="13"/>
        <v>0</v>
      </c>
      <c r="T96" s="504">
        <f t="shared" si="14"/>
        <v>0</v>
      </c>
      <c r="U96" s="504">
        <f t="shared" si="14"/>
        <v>0</v>
      </c>
      <c r="V96" s="504">
        <f t="shared" si="14"/>
        <v>0</v>
      </c>
      <c r="W96" s="504">
        <f t="shared" si="14"/>
        <v>0</v>
      </c>
      <c r="X96" s="504">
        <f t="shared" si="14"/>
        <v>0</v>
      </c>
    </row>
    <row r="97" spans="1:24" s="503" customFormat="1" ht="6" customHeight="1" outlineLevel="2" thickBot="1" x14ac:dyDescent="0.4">
      <c r="A97" s="481"/>
      <c r="B97" s="481"/>
      <c r="C97" s="504"/>
      <c r="D97" s="504"/>
      <c r="E97" s="508"/>
      <c r="F97" s="508"/>
      <c r="G97" s="508"/>
      <c r="H97" s="508"/>
      <c r="I97" s="508"/>
      <c r="J97" s="508"/>
      <c r="K97" s="508"/>
      <c r="L97" s="504"/>
      <c r="M97" s="504"/>
      <c r="N97" s="504"/>
      <c r="O97" s="508"/>
      <c r="P97" s="504"/>
    </row>
    <row r="98" spans="1:24" s="503" customFormat="1" ht="30.75" customHeight="1" outlineLevel="2" thickBot="1" x14ac:dyDescent="0.4">
      <c r="A98" s="481"/>
      <c r="B98" s="481"/>
      <c r="C98" s="509"/>
      <c r="D98" s="509" t="s">
        <v>712</v>
      </c>
      <c r="E98" s="510" t="s">
        <v>713</v>
      </c>
      <c r="F98" s="511" t="s">
        <v>713</v>
      </c>
      <c r="G98" s="511" t="s">
        <v>713</v>
      </c>
      <c r="H98" s="511" t="s">
        <v>713</v>
      </c>
      <c r="I98" s="511" t="s">
        <v>713</v>
      </c>
      <c r="J98" s="511" t="s">
        <v>713</v>
      </c>
      <c r="K98" s="511" t="s">
        <v>713</v>
      </c>
      <c r="L98" s="511" t="s">
        <v>713</v>
      </c>
      <c r="M98" s="511" t="s">
        <v>713</v>
      </c>
      <c r="N98" s="511" t="s">
        <v>713</v>
      </c>
      <c r="O98" s="511" t="s">
        <v>713</v>
      </c>
      <c r="P98" s="504"/>
    </row>
    <row r="99" spans="1:24" s="503" customFormat="1" ht="30.75" customHeight="1" outlineLevel="2" thickBot="1" x14ac:dyDescent="0.4">
      <c r="A99" s="481"/>
      <c r="B99" s="481"/>
      <c r="C99" s="509"/>
      <c r="D99" s="509" t="s">
        <v>714</v>
      </c>
      <c r="E99" s="510" t="s">
        <v>30</v>
      </c>
      <c r="F99" s="512"/>
      <c r="G99" s="511"/>
      <c r="H99" s="511"/>
      <c r="I99" s="511"/>
      <c r="J99" s="511"/>
      <c r="K99" s="511"/>
      <c r="L99" s="517"/>
      <c r="M99" s="518"/>
      <c r="N99" s="513"/>
      <c r="O99" s="516"/>
      <c r="P99" s="504"/>
    </row>
    <row r="100" spans="1:24" ht="20.25" customHeight="1" outlineLevel="1" thickBot="1" x14ac:dyDescent="0.4">
      <c r="C100" s="481"/>
      <c r="D100" s="481"/>
      <c r="E100" s="481"/>
      <c r="F100" s="481"/>
      <c r="G100" s="482"/>
      <c r="H100" s="482"/>
      <c r="I100" s="482"/>
      <c r="J100" s="482"/>
      <c r="K100" s="482"/>
      <c r="L100" s="482"/>
      <c r="M100" s="482"/>
      <c r="N100" s="482"/>
      <c r="O100" s="482"/>
      <c r="P100" s="481"/>
    </row>
    <row r="101" spans="1:24" ht="17.25" customHeight="1" thickBot="1" x14ac:dyDescent="0.4">
      <c r="C101" s="483" t="s">
        <v>677</v>
      </c>
      <c r="D101" s="484" t="s">
        <v>678</v>
      </c>
      <c r="E101" s="481"/>
      <c r="F101" s="481"/>
      <c r="G101" s="482"/>
      <c r="H101" s="482"/>
      <c r="I101" s="482"/>
      <c r="J101" s="482"/>
      <c r="K101" s="482"/>
      <c r="L101" s="482"/>
      <c r="M101" s="482"/>
      <c r="N101" s="482"/>
      <c r="O101" s="482"/>
      <c r="P101" s="481"/>
    </row>
    <row r="102" spans="1:24" s="492" customFormat="1" ht="36.75" customHeight="1" thickBot="1" x14ac:dyDescent="0.7">
      <c r="A102" s="481"/>
      <c r="B102" s="486" t="s">
        <v>679</v>
      </c>
      <c r="C102" s="487" t="s">
        <v>84</v>
      </c>
      <c r="D102" s="514" t="str">
        <f>VLOOKUP(C102,overview_of_services!$B$2:$I$88,3,FALSE)</f>
        <v>Heat generator control (all except heat pumps)</v>
      </c>
      <c r="E102" s="489"/>
      <c r="F102" s="490" t="s">
        <v>680</v>
      </c>
      <c r="G102" s="578" t="str">
        <f>VLOOKUP(C102,overview_of_services!$B$2:$I$88,2,FALSE)</f>
        <v>Control heat production facilities</v>
      </c>
      <c r="H102" s="578"/>
      <c r="I102" s="490"/>
      <c r="J102" s="491"/>
      <c r="K102" s="491"/>
      <c r="L102" s="491"/>
      <c r="M102" s="491"/>
      <c r="N102" s="491"/>
      <c r="O102" s="491"/>
      <c r="R102" s="492" t="s">
        <v>681</v>
      </c>
      <c r="S102" s="492">
        <f>ROW()</f>
        <v>102</v>
      </c>
    </row>
    <row r="103" spans="1:24" ht="5.25" customHeight="1" x14ac:dyDescent="0.35">
      <c r="C103" s="493"/>
      <c r="D103" s="493"/>
      <c r="E103" s="493"/>
      <c r="F103" s="493"/>
      <c r="G103" s="493"/>
      <c r="H103" s="493"/>
      <c r="I103" s="493"/>
      <c r="J103" s="493"/>
      <c r="K103" s="493"/>
      <c r="L103" s="493"/>
      <c r="M103" s="493"/>
      <c r="N103" s="493"/>
      <c r="O103" s="494"/>
      <c r="P103" s="481"/>
    </row>
    <row r="104" spans="1:24" ht="20.25" customHeight="1" outlineLevel="1" x14ac:dyDescent="0.35">
      <c r="C104" s="575" t="s">
        <v>682</v>
      </c>
      <c r="D104" s="575"/>
      <c r="E104" s="577" t="s">
        <v>683</v>
      </c>
      <c r="F104" s="577"/>
      <c r="G104" s="577"/>
      <c r="H104" s="577"/>
      <c r="I104" s="577"/>
      <c r="J104" s="577"/>
      <c r="K104" s="577"/>
      <c r="L104" s="573" t="s">
        <v>684</v>
      </c>
      <c r="M104" s="574"/>
      <c r="N104" s="569" t="s">
        <v>685</v>
      </c>
      <c r="O104" s="571" t="s">
        <v>686</v>
      </c>
      <c r="P104" s="481"/>
    </row>
    <row r="105" spans="1:24" ht="36.75" customHeight="1" outlineLevel="1" thickBot="1" x14ac:dyDescent="0.4">
      <c r="C105" s="576"/>
      <c r="D105" s="576"/>
      <c r="E105" s="495" t="s">
        <v>687</v>
      </c>
      <c r="F105" s="495" t="s">
        <v>688</v>
      </c>
      <c r="G105" s="495" t="s">
        <v>689</v>
      </c>
      <c r="H105" s="495" t="s">
        <v>690</v>
      </c>
      <c r="I105" s="495" t="s">
        <v>616</v>
      </c>
      <c r="J105" s="495" t="s">
        <v>691</v>
      </c>
      <c r="K105" s="495" t="s">
        <v>692</v>
      </c>
      <c r="L105" s="496" t="s">
        <v>693</v>
      </c>
      <c r="M105" s="496" t="s">
        <v>694</v>
      </c>
      <c r="N105" s="570"/>
      <c r="O105" s="572"/>
      <c r="P105" s="481"/>
    </row>
    <row r="106" spans="1:24" s="503" customFormat="1" ht="35.25" customHeight="1" outlineLevel="1" thickTop="1" x14ac:dyDescent="0.5">
      <c r="A106" s="481"/>
      <c r="B106" s="481"/>
      <c r="C106" s="497" t="s">
        <v>695</v>
      </c>
      <c r="D106" s="498" t="str">
        <f>VLOOKUP(C102,overview_of_services!$B$2:$I$88,4,FALSE)</f>
        <v>Constant temperature control</v>
      </c>
      <c r="E106" s="499">
        <v>0</v>
      </c>
      <c r="F106" s="499">
        <v>0</v>
      </c>
      <c r="G106" s="499">
        <v>0</v>
      </c>
      <c r="H106" s="499">
        <v>0</v>
      </c>
      <c r="I106" s="499">
        <v>0</v>
      </c>
      <c r="J106" s="499">
        <v>0</v>
      </c>
      <c r="K106" s="499">
        <v>0</v>
      </c>
      <c r="L106" s="500" t="s">
        <v>696</v>
      </c>
      <c r="M106" s="500" t="s">
        <v>696</v>
      </c>
      <c r="N106" s="501">
        <v>0</v>
      </c>
      <c r="O106" s="502" t="s">
        <v>697</v>
      </c>
      <c r="P106" s="504"/>
      <c r="R106" s="504">
        <f t="shared" ref="R106:S110" si="15">IF(E106=0,0,(IF(E106="+",1,(IF(E106="++",2,(IF(E106="+++",3,(IF(E106="++++",4,(IF(E106="-",-1,(IF(E106="--",-2,(IF(E106="---",-3,(IF(E106="----",-4,"NA")))))))))))))))))</f>
        <v>0</v>
      </c>
      <c r="S106" s="504">
        <f t="shared" si="15"/>
        <v>0</v>
      </c>
      <c r="T106" s="504">
        <f t="shared" ref="T106:X110" si="16">IF(G106=0,0,(IF(G106="+",1,(IF(G106="++",2,(IF(G106="+++",3,(IF(G106="++++",4,(IF(G106="-",-1,(IF(G106="--",-2,(IF(G106="---",-3,(IF(G106="----",-4,"NA")))))))))))))))))</f>
        <v>0</v>
      </c>
      <c r="U106" s="504">
        <f t="shared" si="16"/>
        <v>0</v>
      </c>
      <c r="V106" s="504">
        <f t="shared" si="16"/>
        <v>0</v>
      </c>
      <c r="W106" s="504">
        <f t="shared" si="16"/>
        <v>0</v>
      </c>
      <c r="X106" s="504">
        <f t="shared" si="16"/>
        <v>0</v>
      </c>
    </row>
    <row r="107" spans="1:24" s="503" customFormat="1" ht="35.25" customHeight="1" outlineLevel="1" x14ac:dyDescent="0.5">
      <c r="A107" s="481"/>
      <c r="B107" s="481"/>
      <c r="C107" s="505" t="s">
        <v>699</v>
      </c>
      <c r="D107" s="506" t="str">
        <f>VLOOKUP(C102,overview_of_services!$B$2:$I$88,5,FALSE)</f>
        <v>Variable temperature control depending on outdoor temperature</v>
      </c>
      <c r="E107" s="499" t="s">
        <v>700</v>
      </c>
      <c r="F107" s="499">
        <v>0</v>
      </c>
      <c r="G107" s="499" t="s">
        <v>700</v>
      </c>
      <c r="H107" s="499">
        <v>0</v>
      </c>
      <c r="I107" s="499">
        <v>0</v>
      </c>
      <c r="J107" s="499">
        <v>0</v>
      </c>
      <c r="K107" s="499">
        <v>0</v>
      </c>
      <c r="L107" s="500" t="s">
        <v>718</v>
      </c>
      <c r="M107" s="500" t="s">
        <v>718</v>
      </c>
      <c r="N107" s="501">
        <v>1</v>
      </c>
      <c r="O107" s="502" t="s">
        <v>730</v>
      </c>
      <c r="P107" s="504"/>
      <c r="R107" s="504">
        <f t="shared" si="15"/>
        <v>1</v>
      </c>
      <c r="S107" s="504">
        <f t="shared" si="15"/>
        <v>0</v>
      </c>
      <c r="T107" s="504">
        <f t="shared" si="16"/>
        <v>1</v>
      </c>
      <c r="U107" s="504">
        <f t="shared" si="16"/>
        <v>0</v>
      </c>
      <c r="V107" s="504">
        <f t="shared" si="16"/>
        <v>0</v>
      </c>
      <c r="W107" s="504">
        <f t="shared" si="16"/>
        <v>0</v>
      </c>
      <c r="X107" s="504">
        <f t="shared" si="16"/>
        <v>0</v>
      </c>
    </row>
    <row r="108" spans="1:24" s="503" customFormat="1" ht="35.25" customHeight="1" outlineLevel="1" x14ac:dyDescent="0.5">
      <c r="A108" s="481"/>
      <c r="B108" s="481"/>
      <c r="C108" s="505" t="s">
        <v>703</v>
      </c>
      <c r="D108" s="506" t="str">
        <f>VLOOKUP(C102,overview_of_services!$B$2:$I$88,6,FALSE)</f>
        <v>Variable temperature control depending on the load (e.g. depending on supply water temperature set point)</v>
      </c>
      <c r="E108" s="507" t="s">
        <v>704</v>
      </c>
      <c r="F108" s="499">
        <v>0</v>
      </c>
      <c r="G108" s="507" t="s">
        <v>704</v>
      </c>
      <c r="H108" s="499">
        <v>0</v>
      </c>
      <c r="I108" s="499">
        <v>0</v>
      </c>
      <c r="J108" s="499">
        <v>0</v>
      </c>
      <c r="K108" s="499">
        <v>0</v>
      </c>
      <c r="L108" s="500" t="s">
        <v>708</v>
      </c>
      <c r="M108" s="500" t="s">
        <v>718</v>
      </c>
      <c r="N108" s="501">
        <v>2</v>
      </c>
      <c r="O108" s="502" t="s">
        <v>731</v>
      </c>
      <c r="P108" s="504"/>
      <c r="R108" s="504">
        <f t="shared" si="15"/>
        <v>2</v>
      </c>
      <c r="S108" s="504">
        <f t="shared" si="15"/>
        <v>0</v>
      </c>
      <c r="T108" s="504">
        <f t="shared" si="16"/>
        <v>2</v>
      </c>
      <c r="U108" s="504">
        <f t="shared" si="16"/>
        <v>0</v>
      </c>
      <c r="V108" s="504">
        <f t="shared" si="16"/>
        <v>0</v>
      </c>
      <c r="W108" s="504">
        <f t="shared" si="16"/>
        <v>0</v>
      </c>
      <c r="X108" s="504">
        <f t="shared" si="16"/>
        <v>0</v>
      </c>
    </row>
    <row r="109" spans="1:24" s="503" customFormat="1" ht="35.25" customHeight="1" outlineLevel="1" x14ac:dyDescent="0.5">
      <c r="A109" s="481"/>
      <c r="B109" s="481"/>
      <c r="C109" s="505" t="s">
        <v>706</v>
      </c>
      <c r="D109" s="506">
        <f>VLOOKUP(C102,overview_of_services!$B$2:$I$88,7,FALSE)</f>
        <v>0</v>
      </c>
      <c r="E109" s="499"/>
      <c r="F109" s="499"/>
      <c r="G109" s="499"/>
      <c r="H109" s="499"/>
      <c r="I109" s="499"/>
      <c r="J109" s="499"/>
      <c r="K109" s="499"/>
      <c r="L109" s="500" t="s">
        <v>721</v>
      </c>
      <c r="M109" s="500"/>
      <c r="N109" s="501" t="s">
        <v>721</v>
      </c>
      <c r="O109" s="502" t="s">
        <v>721</v>
      </c>
      <c r="P109" s="504"/>
      <c r="R109" s="504">
        <f t="shared" si="15"/>
        <v>0</v>
      </c>
      <c r="S109" s="504">
        <f t="shared" si="15"/>
        <v>0</v>
      </c>
      <c r="T109" s="504">
        <f t="shared" si="16"/>
        <v>0</v>
      </c>
      <c r="U109" s="504">
        <f t="shared" si="16"/>
        <v>0</v>
      </c>
      <c r="V109" s="504">
        <f t="shared" si="16"/>
        <v>0</v>
      </c>
      <c r="W109" s="504">
        <f t="shared" si="16"/>
        <v>0</v>
      </c>
      <c r="X109" s="504">
        <f t="shared" si="16"/>
        <v>0</v>
      </c>
    </row>
    <row r="110" spans="1:24" s="503" customFormat="1" ht="35.25" customHeight="1" outlineLevel="1" x14ac:dyDescent="0.5">
      <c r="A110" s="481"/>
      <c r="B110" s="481"/>
      <c r="C110" s="505" t="s">
        <v>710</v>
      </c>
      <c r="D110" s="506">
        <f>VLOOKUP(C102,overview_of_services!$B$2:$I$88,8,FALSE)</f>
        <v>0</v>
      </c>
      <c r="E110" s="507"/>
      <c r="F110" s="499"/>
      <c r="G110" s="507"/>
      <c r="H110" s="507"/>
      <c r="I110" s="499"/>
      <c r="J110" s="499"/>
      <c r="K110" s="499"/>
      <c r="L110" s="500"/>
      <c r="M110" s="500"/>
      <c r="N110" s="501"/>
      <c r="O110" s="502"/>
      <c r="P110" s="504"/>
      <c r="R110" s="504">
        <f t="shared" si="15"/>
        <v>0</v>
      </c>
      <c r="S110" s="504">
        <f t="shared" si="15"/>
        <v>0</v>
      </c>
      <c r="T110" s="504">
        <f t="shared" si="16"/>
        <v>0</v>
      </c>
      <c r="U110" s="504">
        <f t="shared" si="16"/>
        <v>0</v>
      </c>
      <c r="V110" s="504">
        <f t="shared" si="16"/>
        <v>0</v>
      </c>
      <c r="W110" s="504">
        <f t="shared" si="16"/>
        <v>0</v>
      </c>
      <c r="X110" s="504">
        <f t="shared" si="16"/>
        <v>0</v>
      </c>
    </row>
    <row r="111" spans="1:24" s="503" customFormat="1" ht="6" customHeight="1" outlineLevel="2" thickBot="1" x14ac:dyDescent="0.4">
      <c r="A111" s="481"/>
      <c r="B111" s="481"/>
      <c r="C111" s="504"/>
      <c r="D111" s="504"/>
      <c r="E111" s="508"/>
      <c r="F111" s="508"/>
      <c r="G111" s="508"/>
      <c r="H111" s="508"/>
      <c r="I111" s="508"/>
      <c r="J111" s="508"/>
      <c r="K111" s="508"/>
      <c r="L111" s="504"/>
      <c r="M111" s="504"/>
      <c r="N111" s="504"/>
      <c r="O111" s="508"/>
      <c r="P111" s="504"/>
    </row>
    <row r="112" spans="1:24" s="503" customFormat="1" ht="30.75" customHeight="1" outlineLevel="2" thickBot="1" x14ac:dyDescent="0.4">
      <c r="A112" s="481"/>
      <c r="B112" s="481"/>
      <c r="C112" s="509"/>
      <c r="D112" s="509" t="s">
        <v>712</v>
      </c>
      <c r="E112" s="510" t="s">
        <v>713</v>
      </c>
      <c r="F112" s="511" t="s">
        <v>713</v>
      </c>
      <c r="G112" s="511" t="s">
        <v>713</v>
      </c>
      <c r="H112" s="511" t="s">
        <v>713</v>
      </c>
      <c r="I112" s="511" t="s">
        <v>713</v>
      </c>
      <c r="J112" s="511" t="s">
        <v>713</v>
      </c>
      <c r="K112" s="511" t="s">
        <v>713</v>
      </c>
      <c r="L112" s="511" t="s">
        <v>729</v>
      </c>
      <c r="M112" s="511" t="s">
        <v>729</v>
      </c>
      <c r="N112" s="511" t="s">
        <v>713</v>
      </c>
      <c r="O112" s="511" t="s">
        <v>713</v>
      </c>
      <c r="P112" s="504"/>
    </row>
    <row r="113" spans="1:24" s="503" customFormat="1" ht="30.75" customHeight="1" outlineLevel="2" thickBot="1" x14ac:dyDescent="0.4">
      <c r="A113" s="481"/>
      <c r="B113" s="481"/>
      <c r="C113" s="509"/>
      <c r="D113" s="509" t="s">
        <v>714</v>
      </c>
      <c r="E113" s="510" t="s">
        <v>30</v>
      </c>
      <c r="F113" s="512"/>
      <c r="G113" s="511"/>
      <c r="H113" s="511"/>
      <c r="I113" s="511"/>
      <c r="J113" s="511"/>
      <c r="K113" s="511"/>
      <c r="L113" s="510" t="s">
        <v>30</v>
      </c>
      <c r="M113" s="510" t="s">
        <v>30</v>
      </c>
      <c r="N113" s="513"/>
      <c r="O113" s="510" t="s">
        <v>30</v>
      </c>
      <c r="P113" s="504"/>
    </row>
    <row r="114" spans="1:24" ht="20.25" customHeight="1" outlineLevel="1" thickBot="1" x14ac:dyDescent="0.4">
      <c r="C114" s="481"/>
      <c r="D114" s="481"/>
      <c r="E114" s="481"/>
      <c r="F114" s="481"/>
      <c r="G114" s="482"/>
      <c r="H114" s="482"/>
      <c r="I114" s="482"/>
      <c r="J114" s="482"/>
      <c r="K114" s="482"/>
      <c r="L114" s="482"/>
      <c r="M114" s="482"/>
      <c r="N114" s="482"/>
      <c r="O114" s="482"/>
      <c r="P114" s="481"/>
    </row>
    <row r="115" spans="1:24" ht="17.25" customHeight="1" thickBot="1" x14ac:dyDescent="0.4">
      <c r="C115" s="483" t="s">
        <v>677</v>
      </c>
      <c r="D115" s="484" t="s">
        <v>678</v>
      </c>
      <c r="E115" s="481"/>
      <c r="F115" s="481"/>
      <c r="G115" s="482"/>
      <c r="H115" s="482"/>
      <c r="I115" s="482"/>
      <c r="J115" s="482"/>
      <c r="K115" s="482"/>
      <c r="L115" s="482"/>
      <c r="M115" s="482"/>
      <c r="N115" s="482"/>
      <c r="O115" s="482"/>
      <c r="P115" s="481"/>
    </row>
    <row r="116" spans="1:24" s="492" customFormat="1" ht="36.75" customHeight="1" thickBot="1" x14ac:dyDescent="0.7">
      <c r="A116" s="481"/>
      <c r="B116" s="486" t="s">
        <v>679</v>
      </c>
      <c r="C116" s="487" t="s">
        <v>92</v>
      </c>
      <c r="D116" s="514" t="str">
        <f>VLOOKUP(C116,overview_of_services!$B$2:$I$88,3,FALSE)</f>
        <v>Heat generator control (for heat pumps)</v>
      </c>
      <c r="E116" s="489"/>
      <c r="F116" s="490" t="s">
        <v>680</v>
      </c>
      <c r="G116" s="578" t="str">
        <f>VLOOKUP(C116,overview_of_services!$B$2:$I$88,2,FALSE)</f>
        <v>Control heat production facilities</v>
      </c>
      <c r="H116" s="578"/>
      <c r="I116" s="490"/>
      <c r="J116" s="491"/>
      <c r="K116" s="491"/>
      <c r="L116" s="491"/>
      <c r="M116" s="491"/>
      <c r="N116" s="491"/>
      <c r="O116" s="491"/>
      <c r="R116" s="492" t="s">
        <v>681</v>
      </c>
      <c r="S116" s="492">
        <f>ROW()</f>
        <v>116</v>
      </c>
    </row>
    <row r="117" spans="1:24" ht="5.25" customHeight="1" x14ac:dyDescent="0.35">
      <c r="C117" s="493"/>
      <c r="D117" s="493"/>
      <c r="E117" s="493"/>
      <c r="F117" s="493"/>
      <c r="G117" s="493"/>
      <c r="H117" s="493"/>
      <c r="I117" s="493"/>
      <c r="J117" s="493"/>
      <c r="K117" s="493"/>
      <c r="L117" s="493"/>
      <c r="M117" s="493"/>
      <c r="N117" s="493"/>
      <c r="O117" s="494"/>
      <c r="P117" s="481"/>
    </row>
    <row r="118" spans="1:24" ht="20.25" customHeight="1" outlineLevel="1" x14ac:dyDescent="0.35">
      <c r="C118" s="575" t="s">
        <v>682</v>
      </c>
      <c r="D118" s="575"/>
      <c r="E118" s="577" t="s">
        <v>683</v>
      </c>
      <c r="F118" s="577"/>
      <c r="G118" s="577"/>
      <c r="H118" s="577"/>
      <c r="I118" s="577"/>
      <c r="J118" s="577"/>
      <c r="K118" s="577"/>
      <c r="L118" s="573" t="s">
        <v>684</v>
      </c>
      <c r="M118" s="574"/>
      <c r="N118" s="569" t="s">
        <v>685</v>
      </c>
      <c r="O118" s="571" t="s">
        <v>686</v>
      </c>
      <c r="P118" s="481"/>
    </row>
    <row r="119" spans="1:24" ht="36.75" customHeight="1" outlineLevel="1" thickBot="1" x14ac:dyDescent="0.4">
      <c r="C119" s="576"/>
      <c r="D119" s="576"/>
      <c r="E119" s="495" t="s">
        <v>687</v>
      </c>
      <c r="F119" s="495" t="s">
        <v>688</v>
      </c>
      <c r="G119" s="495" t="s">
        <v>689</v>
      </c>
      <c r="H119" s="495" t="s">
        <v>690</v>
      </c>
      <c r="I119" s="495" t="s">
        <v>616</v>
      </c>
      <c r="J119" s="495" t="s">
        <v>691</v>
      </c>
      <c r="K119" s="495" t="s">
        <v>692</v>
      </c>
      <c r="L119" s="496" t="s">
        <v>693</v>
      </c>
      <c r="M119" s="496" t="s">
        <v>694</v>
      </c>
      <c r="N119" s="570"/>
      <c r="O119" s="572"/>
      <c r="P119" s="481"/>
    </row>
    <row r="120" spans="1:24" s="503" customFormat="1" ht="35.25" customHeight="1" outlineLevel="1" thickTop="1" x14ac:dyDescent="0.5">
      <c r="A120" s="481"/>
      <c r="B120" s="481"/>
      <c r="C120" s="497" t="s">
        <v>695</v>
      </c>
      <c r="D120" s="498" t="str">
        <f>VLOOKUP(C116,overview_of_services!$B$2:$I$88,4,FALSE)</f>
        <v>On/Off-control of heat generator</v>
      </c>
      <c r="E120" s="499">
        <v>0</v>
      </c>
      <c r="F120" s="499">
        <v>0</v>
      </c>
      <c r="G120" s="499">
        <v>0</v>
      </c>
      <c r="H120" s="499">
        <v>0</v>
      </c>
      <c r="I120" s="499">
        <v>0</v>
      </c>
      <c r="J120" s="499">
        <v>0</v>
      </c>
      <c r="K120" s="499">
        <v>0</v>
      </c>
      <c r="L120" s="500" t="s">
        <v>696</v>
      </c>
      <c r="M120" s="500" t="s">
        <v>696</v>
      </c>
      <c r="N120" s="501">
        <v>0</v>
      </c>
      <c r="O120" s="502" t="s">
        <v>697</v>
      </c>
      <c r="P120" s="504"/>
      <c r="R120" s="504">
        <f t="shared" ref="R120:S124" si="17">IF(E120=0,0,(IF(E120="+",1,(IF(E120="++",2,(IF(E120="+++",3,(IF(E120="++++",4,(IF(E120="-",-1,(IF(E120="--",-2,(IF(E120="---",-3,(IF(E120="----",-4,"NA")))))))))))))))))</f>
        <v>0</v>
      </c>
      <c r="S120" s="504">
        <f t="shared" si="17"/>
        <v>0</v>
      </c>
      <c r="T120" s="504">
        <f t="shared" ref="T120:X124" si="18">IF(G120=0,0,(IF(G120="+",1,(IF(G120="++",2,(IF(G120="+++",3,(IF(G120="++++",4,(IF(G120="-",-1,(IF(G120="--",-2,(IF(G120="---",-3,(IF(G120="----",-4,"NA")))))))))))))))))</f>
        <v>0</v>
      </c>
      <c r="U120" s="504">
        <f t="shared" si="18"/>
        <v>0</v>
      </c>
      <c r="V120" s="504">
        <f t="shared" si="18"/>
        <v>0</v>
      </c>
      <c r="W120" s="504">
        <f t="shared" si="18"/>
        <v>0</v>
      </c>
      <c r="X120" s="504">
        <f t="shared" si="18"/>
        <v>0</v>
      </c>
    </row>
    <row r="121" spans="1:24" s="503" customFormat="1" ht="43.5" outlineLevel="1" x14ac:dyDescent="0.5">
      <c r="A121" s="481"/>
      <c r="B121" s="481"/>
      <c r="C121" s="505" t="s">
        <v>699</v>
      </c>
      <c r="D121" s="506" t="str">
        <f>VLOOKUP(C116,overview_of_services!$B$2:$I$88,5,FALSE)</f>
        <v>Multi-stage control of heat generator capacity depending on the load or demand (e.g. on/off of several compressors)</v>
      </c>
      <c r="E121" s="499" t="s">
        <v>700</v>
      </c>
      <c r="F121" s="499">
        <v>0</v>
      </c>
      <c r="G121" s="499" t="s">
        <v>700</v>
      </c>
      <c r="H121" s="499">
        <v>0</v>
      </c>
      <c r="I121" s="499">
        <v>0</v>
      </c>
      <c r="J121" s="499">
        <v>0</v>
      </c>
      <c r="K121" s="499">
        <v>0</v>
      </c>
      <c r="L121" s="500" t="s">
        <v>708</v>
      </c>
      <c r="M121" s="500" t="s">
        <v>708</v>
      </c>
      <c r="N121" s="501">
        <v>1</v>
      </c>
      <c r="O121" s="502" t="s">
        <v>732</v>
      </c>
      <c r="P121" s="504"/>
      <c r="R121" s="504">
        <f t="shared" si="17"/>
        <v>1</v>
      </c>
      <c r="S121" s="504">
        <f t="shared" si="17"/>
        <v>0</v>
      </c>
      <c r="T121" s="504">
        <f t="shared" si="18"/>
        <v>1</v>
      </c>
      <c r="U121" s="504">
        <f t="shared" si="18"/>
        <v>0</v>
      </c>
      <c r="V121" s="504">
        <f t="shared" si="18"/>
        <v>0</v>
      </c>
      <c r="W121" s="504">
        <f t="shared" si="18"/>
        <v>0</v>
      </c>
      <c r="X121" s="504">
        <f t="shared" si="18"/>
        <v>0</v>
      </c>
    </row>
    <row r="122" spans="1:24" s="503" customFormat="1" ht="29" outlineLevel="1" x14ac:dyDescent="0.5">
      <c r="A122" s="481"/>
      <c r="B122" s="481"/>
      <c r="C122" s="505" t="s">
        <v>703</v>
      </c>
      <c r="D122" s="506" t="str">
        <f>VLOOKUP(C116,overview_of_services!$B$2:$I$88,6,FALSE)</f>
        <v>Variable control of heat generator capacity depending on the load or demand (e.g. hot gas bypass, inverter frequency control)</v>
      </c>
      <c r="E122" s="507" t="s">
        <v>704</v>
      </c>
      <c r="F122" s="499">
        <v>0</v>
      </c>
      <c r="G122" s="507" t="s">
        <v>704</v>
      </c>
      <c r="H122" s="499">
        <v>0</v>
      </c>
      <c r="I122" s="499">
        <v>0</v>
      </c>
      <c r="J122" s="499">
        <v>0</v>
      </c>
      <c r="K122" s="499">
        <v>0</v>
      </c>
      <c r="L122" s="500" t="s">
        <v>708</v>
      </c>
      <c r="M122" s="500" t="s">
        <v>708</v>
      </c>
      <c r="N122" s="501">
        <v>2</v>
      </c>
      <c r="O122" s="502" t="s">
        <v>733</v>
      </c>
      <c r="P122" s="504"/>
      <c r="R122" s="504">
        <f t="shared" si="17"/>
        <v>2</v>
      </c>
      <c r="S122" s="504">
        <f t="shared" si="17"/>
        <v>0</v>
      </c>
      <c r="T122" s="504">
        <f t="shared" si="18"/>
        <v>2</v>
      </c>
      <c r="U122" s="504">
        <f t="shared" si="18"/>
        <v>0</v>
      </c>
      <c r="V122" s="504">
        <f t="shared" si="18"/>
        <v>0</v>
      </c>
      <c r="W122" s="504">
        <f t="shared" si="18"/>
        <v>0</v>
      </c>
      <c r="X122" s="504">
        <f t="shared" si="18"/>
        <v>0</v>
      </c>
    </row>
    <row r="123" spans="1:24" s="503" customFormat="1" ht="35.25" customHeight="1" outlineLevel="1" x14ac:dyDescent="0.5">
      <c r="A123" s="481"/>
      <c r="B123" s="481"/>
      <c r="C123" s="505" t="s">
        <v>706</v>
      </c>
      <c r="D123" s="506">
        <f>VLOOKUP(C116,overview_of_services!$B$2:$I$88,7,FALSE)</f>
        <v>0</v>
      </c>
      <c r="E123" s="507"/>
      <c r="F123" s="499"/>
      <c r="G123" s="507"/>
      <c r="H123" s="507"/>
      <c r="I123" s="499"/>
      <c r="J123" s="499"/>
      <c r="K123" s="499"/>
      <c r="L123" s="500"/>
      <c r="M123" s="500"/>
      <c r="N123" s="501"/>
      <c r="O123" s="502"/>
      <c r="P123" s="504"/>
      <c r="R123" s="504">
        <f t="shared" si="17"/>
        <v>0</v>
      </c>
      <c r="S123" s="504">
        <f t="shared" si="17"/>
        <v>0</v>
      </c>
      <c r="T123" s="504">
        <f t="shared" si="18"/>
        <v>0</v>
      </c>
      <c r="U123" s="504">
        <f t="shared" si="18"/>
        <v>0</v>
      </c>
      <c r="V123" s="504">
        <f t="shared" si="18"/>
        <v>0</v>
      </c>
      <c r="W123" s="504">
        <f t="shared" si="18"/>
        <v>0</v>
      </c>
      <c r="X123" s="504">
        <f t="shared" si="18"/>
        <v>0</v>
      </c>
    </row>
    <row r="124" spans="1:24" s="503" customFormat="1" ht="35.25" customHeight="1" outlineLevel="1" x14ac:dyDescent="0.5">
      <c r="A124" s="481"/>
      <c r="B124" s="481"/>
      <c r="C124" s="505" t="s">
        <v>710</v>
      </c>
      <c r="D124" s="506">
        <f>VLOOKUP(C116,overview_of_services!$B$2:$I$88,8,FALSE)</f>
        <v>0</v>
      </c>
      <c r="E124" s="507"/>
      <c r="F124" s="499"/>
      <c r="G124" s="507"/>
      <c r="H124" s="507"/>
      <c r="I124" s="499"/>
      <c r="J124" s="499"/>
      <c r="K124" s="499"/>
      <c r="L124" s="500"/>
      <c r="M124" s="500"/>
      <c r="N124" s="501"/>
      <c r="O124" s="502"/>
      <c r="P124" s="504"/>
      <c r="R124" s="504">
        <f t="shared" si="17"/>
        <v>0</v>
      </c>
      <c r="S124" s="504">
        <f t="shared" si="17"/>
        <v>0</v>
      </c>
      <c r="T124" s="504">
        <f t="shared" si="18"/>
        <v>0</v>
      </c>
      <c r="U124" s="504">
        <f t="shared" si="18"/>
        <v>0</v>
      </c>
      <c r="V124" s="504">
        <f t="shared" si="18"/>
        <v>0</v>
      </c>
      <c r="W124" s="504">
        <f t="shared" si="18"/>
        <v>0</v>
      </c>
      <c r="X124" s="504">
        <f t="shared" si="18"/>
        <v>0</v>
      </c>
    </row>
    <row r="125" spans="1:24" s="503" customFormat="1" ht="6" customHeight="1" outlineLevel="2" thickBot="1" x14ac:dyDescent="0.4">
      <c r="A125" s="481"/>
      <c r="B125" s="481"/>
      <c r="C125" s="504"/>
      <c r="D125" s="504"/>
      <c r="E125" s="508"/>
      <c r="F125" s="508"/>
      <c r="G125" s="508"/>
      <c r="H125" s="508"/>
      <c r="I125" s="508"/>
      <c r="J125" s="508"/>
      <c r="K125" s="508"/>
      <c r="L125" s="504"/>
      <c r="M125" s="504"/>
      <c r="N125" s="504"/>
      <c r="O125" s="508"/>
      <c r="P125" s="504"/>
    </row>
    <row r="126" spans="1:24" s="503" customFormat="1" ht="30.75" customHeight="1" outlineLevel="2" thickBot="1" x14ac:dyDescent="0.4">
      <c r="A126" s="481"/>
      <c r="B126" s="481"/>
      <c r="C126" s="509"/>
      <c r="D126" s="509" t="s">
        <v>712</v>
      </c>
      <c r="E126" s="510" t="s">
        <v>713</v>
      </c>
      <c r="F126" s="511" t="s">
        <v>713</v>
      </c>
      <c r="G126" s="511" t="s">
        <v>713</v>
      </c>
      <c r="H126" s="511" t="s">
        <v>713</v>
      </c>
      <c r="I126" s="511" t="s">
        <v>713</v>
      </c>
      <c r="J126" s="511" t="s">
        <v>713</v>
      </c>
      <c r="K126" s="511" t="s">
        <v>713</v>
      </c>
      <c r="L126" s="511" t="s">
        <v>729</v>
      </c>
      <c r="M126" s="511" t="s">
        <v>729</v>
      </c>
      <c r="N126" s="511" t="s">
        <v>713</v>
      </c>
      <c r="O126" s="511" t="s">
        <v>713</v>
      </c>
      <c r="P126" s="504"/>
    </row>
    <row r="127" spans="1:24" s="503" customFormat="1" ht="30.75" customHeight="1" outlineLevel="2" thickBot="1" x14ac:dyDescent="0.4">
      <c r="A127" s="481"/>
      <c r="B127" s="481"/>
      <c r="C127" s="509"/>
      <c r="D127" s="509" t="s">
        <v>714</v>
      </c>
      <c r="E127" s="510" t="s">
        <v>30</v>
      </c>
      <c r="F127" s="512"/>
      <c r="G127" s="511"/>
      <c r="H127" s="511"/>
      <c r="I127" s="511"/>
      <c r="J127" s="511"/>
      <c r="K127" s="511"/>
      <c r="L127" s="510" t="s">
        <v>30</v>
      </c>
      <c r="M127" s="510" t="s">
        <v>30</v>
      </c>
      <c r="N127" s="513"/>
      <c r="O127" s="510" t="s">
        <v>30</v>
      </c>
      <c r="P127" s="504"/>
    </row>
    <row r="128" spans="1:24" ht="20.25" customHeight="1" outlineLevel="1" thickBot="1" x14ac:dyDescent="0.4">
      <c r="C128" s="481"/>
      <c r="D128" s="481"/>
      <c r="E128" s="481"/>
      <c r="F128" s="481"/>
      <c r="G128" s="482"/>
      <c r="H128" s="482"/>
      <c r="I128" s="482"/>
      <c r="J128" s="482"/>
      <c r="K128" s="482"/>
      <c r="L128" s="482"/>
      <c r="M128" s="482"/>
      <c r="N128" s="482"/>
      <c r="O128" s="482"/>
      <c r="P128" s="481"/>
    </row>
    <row r="129" spans="1:24" ht="17.25" customHeight="1" thickBot="1" x14ac:dyDescent="0.4">
      <c r="C129" s="483" t="s">
        <v>677</v>
      </c>
      <c r="D129" s="484" t="s">
        <v>678</v>
      </c>
      <c r="E129" s="481"/>
      <c r="F129" s="481"/>
      <c r="G129" s="482"/>
      <c r="H129" s="482"/>
      <c r="I129" s="482"/>
      <c r="J129" s="482"/>
      <c r="K129" s="482"/>
      <c r="L129" s="482"/>
      <c r="M129" s="482"/>
      <c r="N129" s="482"/>
      <c r="O129" s="482"/>
      <c r="P129" s="481"/>
    </row>
    <row r="130" spans="1:24" s="492" customFormat="1" ht="36.75" customHeight="1" thickBot="1" x14ac:dyDescent="0.7">
      <c r="A130" s="481"/>
      <c r="B130" s="486" t="s">
        <v>679</v>
      </c>
      <c r="C130" s="487" t="s">
        <v>101</v>
      </c>
      <c r="D130" s="514" t="str">
        <f>VLOOKUP(C130,overview_of_services!$B$2:$I$88,3,FALSE)</f>
        <v>Heat system control according to external signal (e.g. electricity tariff, gas pricing, load shedding signal etc.)</v>
      </c>
      <c r="E130" s="489"/>
      <c r="F130" s="490" t="s">
        <v>680</v>
      </c>
      <c r="G130" s="578" t="str">
        <f>VLOOKUP(C130,overview_of_services!$B$2:$I$88,2,FALSE)</f>
        <v>Control heat production facilities</v>
      </c>
      <c r="H130" s="578"/>
      <c r="I130" s="490"/>
      <c r="J130" s="491"/>
      <c r="K130" s="491"/>
      <c r="L130" s="491"/>
      <c r="M130" s="491"/>
      <c r="N130" s="491"/>
      <c r="O130" s="491"/>
      <c r="R130" s="492" t="s">
        <v>681</v>
      </c>
      <c r="S130" s="492">
        <f>ROW()</f>
        <v>130</v>
      </c>
    </row>
    <row r="131" spans="1:24" ht="5.25" customHeight="1" x14ac:dyDescent="0.35">
      <c r="C131" s="493"/>
      <c r="D131" s="493"/>
      <c r="E131" s="493"/>
      <c r="F131" s="493"/>
      <c r="G131" s="493"/>
      <c r="H131" s="493"/>
      <c r="I131" s="493"/>
      <c r="J131" s="493"/>
      <c r="K131" s="493"/>
      <c r="L131" s="493"/>
      <c r="M131" s="493"/>
      <c r="N131" s="493"/>
      <c r="O131" s="494"/>
      <c r="P131" s="481"/>
    </row>
    <row r="132" spans="1:24" ht="20.25" customHeight="1" outlineLevel="1" x14ac:dyDescent="0.35">
      <c r="C132" s="575" t="s">
        <v>682</v>
      </c>
      <c r="D132" s="575"/>
      <c r="E132" s="577" t="s">
        <v>683</v>
      </c>
      <c r="F132" s="577"/>
      <c r="G132" s="577"/>
      <c r="H132" s="577"/>
      <c r="I132" s="577"/>
      <c r="J132" s="577"/>
      <c r="K132" s="577"/>
      <c r="L132" s="573" t="s">
        <v>684</v>
      </c>
      <c r="M132" s="574"/>
      <c r="N132" s="569" t="s">
        <v>685</v>
      </c>
      <c r="O132" s="571" t="s">
        <v>686</v>
      </c>
      <c r="P132" s="481"/>
    </row>
    <row r="133" spans="1:24" ht="36.75" customHeight="1" outlineLevel="1" thickBot="1" x14ac:dyDescent="0.4">
      <c r="C133" s="576"/>
      <c r="D133" s="576"/>
      <c r="E133" s="495" t="s">
        <v>687</v>
      </c>
      <c r="F133" s="495" t="s">
        <v>688</v>
      </c>
      <c r="G133" s="495" t="s">
        <v>689</v>
      </c>
      <c r="H133" s="495" t="s">
        <v>690</v>
      </c>
      <c r="I133" s="495" t="s">
        <v>616</v>
      </c>
      <c r="J133" s="495" t="s">
        <v>691</v>
      </c>
      <c r="K133" s="495" t="s">
        <v>692</v>
      </c>
      <c r="L133" s="496" t="s">
        <v>693</v>
      </c>
      <c r="M133" s="496" t="s">
        <v>694</v>
      </c>
      <c r="N133" s="570"/>
      <c r="O133" s="572"/>
      <c r="P133" s="481"/>
    </row>
    <row r="134" spans="1:24" s="503" customFormat="1" ht="35.25" customHeight="1" outlineLevel="1" thickTop="1" x14ac:dyDescent="0.5">
      <c r="A134" s="481"/>
      <c r="B134" s="481"/>
      <c r="C134" s="497" t="s">
        <v>695</v>
      </c>
      <c r="D134" s="498" t="str">
        <f>VLOOKUP(C130,overview_of_services!$B$2:$I$88,4,FALSE)</f>
        <v>No automatic control based on external signals</v>
      </c>
      <c r="E134" s="499">
        <v>0</v>
      </c>
      <c r="F134" s="499">
        <v>0</v>
      </c>
      <c r="G134" s="499">
        <v>0</v>
      </c>
      <c r="H134" s="499">
        <v>0</v>
      </c>
      <c r="I134" s="499">
        <v>0</v>
      </c>
      <c r="J134" s="499">
        <v>0</v>
      </c>
      <c r="K134" s="499">
        <v>0</v>
      </c>
      <c r="L134" s="500" t="s">
        <v>696</v>
      </c>
      <c r="M134" s="500" t="s">
        <v>696</v>
      </c>
      <c r="N134" s="501">
        <v>0</v>
      </c>
      <c r="O134" s="502" t="s">
        <v>721</v>
      </c>
      <c r="P134" s="504"/>
      <c r="R134" s="504">
        <f t="shared" ref="R134:S138" si="19">IF(E134=0,0,(IF(E134="+",1,(IF(E134="++",2,(IF(E134="+++",3,(IF(E134="++++",4,(IF(E134="-",-1,(IF(E134="--",-2,(IF(E134="---",-3,(IF(E134="----",-4,"NA")))))))))))))))))</f>
        <v>0</v>
      </c>
      <c r="S134" s="504">
        <f t="shared" si="19"/>
        <v>0</v>
      </c>
      <c r="T134" s="504">
        <f t="shared" ref="T134:X138" si="20">IF(G134=0,0,(IF(G134="+",1,(IF(G134="++",2,(IF(G134="+++",3,(IF(G134="++++",4,(IF(G134="-",-1,(IF(G134="--",-2,(IF(G134="---",-3,(IF(G134="----",-4,"NA")))))))))))))))))</f>
        <v>0</v>
      </c>
      <c r="U134" s="504">
        <f t="shared" si="20"/>
        <v>0</v>
      </c>
      <c r="V134" s="504">
        <f t="shared" si="20"/>
        <v>0</v>
      </c>
      <c r="W134" s="504">
        <f t="shared" si="20"/>
        <v>0</v>
      </c>
      <c r="X134" s="504">
        <f t="shared" si="20"/>
        <v>0</v>
      </c>
    </row>
    <row r="135" spans="1:24" s="503" customFormat="1" ht="29" outlineLevel="1" x14ac:dyDescent="0.5">
      <c r="A135" s="481"/>
      <c r="B135" s="481"/>
      <c r="C135" s="505" t="s">
        <v>699</v>
      </c>
      <c r="D135" s="506" t="str">
        <f>VLOOKUP(C130,overview_of_services!$B$2:$I$88,5,FALSE)</f>
        <v>Heat system control according to external signals (tariff, availability of renewables, etc.)</v>
      </c>
      <c r="E135" s="499" t="s">
        <v>700</v>
      </c>
      <c r="F135" s="519" t="s">
        <v>704</v>
      </c>
      <c r="G135" s="499">
        <v>0</v>
      </c>
      <c r="H135" s="499">
        <v>0</v>
      </c>
      <c r="I135" s="499">
        <v>0</v>
      </c>
      <c r="J135" s="499">
        <v>0</v>
      </c>
      <c r="K135" s="499">
        <v>0</v>
      </c>
      <c r="L135" s="500" t="s">
        <v>708</v>
      </c>
      <c r="M135" s="500" t="s">
        <v>708</v>
      </c>
      <c r="N135" s="501">
        <v>3</v>
      </c>
      <c r="O135" s="502" t="s">
        <v>736</v>
      </c>
      <c r="P135" s="504"/>
      <c r="R135" s="504">
        <f t="shared" si="19"/>
        <v>1</v>
      </c>
      <c r="S135" s="504">
        <f t="shared" si="19"/>
        <v>2</v>
      </c>
      <c r="T135" s="504">
        <f t="shared" si="20"/>
        <v>0</v>
      </c>
      <c r="U135" s="504">
        <f t="shared" si="20"/>
        <v>0</v>
      </c>
      <c r="V135" s="504">
        <f t="shared" si="20"/>
        <v>0</v>
      </c>
      <c r="W135" s="504">
        <f t="shared" si="20"/>
        <v>0</v>
      </c>
      <c r="X135" s="504">
        <f t="shared" si="20"/>
        <v>0</v>
      </c>
    </row>
    <row r="136" spans="1:24" s="503" customFormat="1" ht="29" outlineLevel="1" x14ac:dyDescent="0.5">
      <c r="A136" s="481"/>
      <c r="B136" s="481"/>
      <c r="C136" s="505" t="s">
        <v>703</v>
      </c>
      <c r="D136" s="506" t="str">
        <f>VLOOKUP(C130,overview_of_services!$B$2:$I$88,6,FALSE)</f>
        <v>Heat system control according to external signals combined with internal signals (predicted demand, temperature etc.)</v>
      </c>
      <c r="E136" s="507" t="s">
        <v>704</v>
      </c>
      <c r="F136" s="519" t="s">
        <v>704</v>
      </c>
      <c r="G136" s="507" t="s">
        <v>700</v>
      </c>
      <c r="H136" s="507" t="s">
        <v>700</v>
      </c>
      <c r="I136" s="499">
        <v>0</v>
      </c>
      <c r="J136" s="499">
        <v>0</v>
      </c>
      <c r="K136" s="499">
        <v>0</v>
      </c>
      <c r="L136" s="500" t="s">
        <v>708</v>
      </c>
      <c r="M136" s="500" t="s">
        <v>708</v>
      </c>
      <c r="N136" s="501">
        <v>3</v>
      </c>
      <c r="O136" s="502" t="s">
        <v>721</v>
      </c>
      <c r="P136" s="504"/>
      <c r="R136" s="504">
        <f t="shared" si="19"/>
        <v>2</v>
      </c>
      <c r="S136" s="504">
        <f t="shared" si="19"/>
        <v>2</v>
      </c>
      <c r="T136" s="504">
        <f t="shared" si="20"/>
        <v>1</v>
      </c>
      <c r="U136" s="504">
        <f t="shared" si="20"/>
        <v>1</v>
      </c>
      <c r="V136" s="504">
        <f t="shared" si="20"/>
        <v>0</v>
      </c>
      <c r="W136" s="504">
        <f t="shared" si="20"/>
        <v>0</v>
      </c>
      <c r="X136" s="504">
        <f t="shared" si="20"/>
        <v>0</v>
      </c>
    </row>
    <row r="137" spans="1:24" s="503" customFormat="1" ht="21" outlineLevel="1" x14ac:dyDescent="0.5">
      <c r="A137" s="481"/>
      <c r="B137" s="481"/>
      <c r="C137" s="505" t="s">
        <v>706</v>
      </c>
      <c r="D137" s="506">
        <f>VLOOKUP(C130,overview_of_services!$B$2:$I$88,7,FALSE)</f>
        <v>0</v>
      </c>
      <c r="E137" s="499"/>
      <c r="F137" s="499"/>
      <c r="G137" s="499"/>
      <c r="H137" s="499"/>
      <c r="I137" s="499"/>
      <c r="J137" s="499"/>
      <c r="K137" s="499"/>
      <c r="L137" s="500" t="s">
        <v>721</v>
      </c>
      <c r="M137" s="500"/>
      <c r="N137" s="501" t="s">
        <v>721</v>
      </c>
      <c r="O137" s="502" t="s">
        <v>721</v>
      </c>
      <c r="P137" s="504"/>
      <c r="R137" s="504">
        <f t="shared" si="19"/>
        <v>0</v>
      </c>
      <c r="S137" s="504">
        <f t="shared" si="19"/>
        <v>0</v>
      </c>
      <c r="T137" s="504">
        <f t="shared" si="20"/>
        <v>0</v>
      </c>
      <c r="U137" s="504">
        <f t="shared" si="20"/>
        <v>0</v>
      </c>
      <c r="V137" s="504">
        <f t="shared" si="20"/>
        <v>0</v>
      </c>
      <c r="W137" s="504">
        <f t="shared" si="20"/>
        <v>0</v>
      </c>
      <c r="X137" s="504">
        <f t="shared" si="20"/>
        <v>0</v>
      </c>
    </row>
    <row r="138" spans="1:24" s="503" customFormat="1" ht="57.5" customHeight="1" outlineLevel="1" x14ac:dyDescent="0.5">
      <c r="A138" s="481"/>
      <c r="B138" s="481"/>
      <c r="C138" s="505" t="s">
        <v>710</v>
      </c>
      <c r="D138" s="506">
        <f>VLOOKUP(C130,overview_of_services!$B$2:$I$88,8,FALSE)</f>
        <v>0</v>
      </c>
      <c r="E138" s="507"/>
      <c r="F138" s="499"/>
      <c r="G138" s="507"/>
      <c r="H138" s="507"/>
      <c r="I138" s="499"/>
      <c r="J138" s="499"/>
      <c r="K138" s="499"/>
      <c r="L138" s="500"/>
      <c r="M138" s="500"/>
      <c r="N138" s="501"/>
      <c r="O138" s="502"/>
      <c r="P138" s="504"/>
      <c r="R138" s="504">
        <f t="shared" si="19"/>
        <v>0</v>
      </c>
      <c r="S138" s="504">
        <f t="shared" si="19"/>
        <v>0</v>
      </c>
      <c r="T138" s="504">
        <f t="shared" si="20"/>
        <v>0</v>
      </c>
      <c r="U138" s="504">
        <f t="shared" si="20"/>
        <v>0</v>
      </c>
      <c r="V138" s="504">
        <f t="shared" si="20"/>
        <v>0</v>
      </c>
      <c r="W138" s="504">
        <f t="shared" si="20"/>
        <v>0</v>
      </c>
      <c r="X138" s="504">
        <f t="shared" si="20"/>
        <v>0</v>
      </c>
    </row>
    <row r="139" spans="1:24" s="503" customFormat="1" ht="6" customHeight="1" outlineLevel="2" thickBot="1" x14ac:dyDescent="0.4">
      <c r="A139" s="481"/>
      <c r="B139" s="481"/>
      <c r="C139" s="504"/>
      <c r="D139" s="504"/>
      <c r="E139" s="508"/>
      <c r="F139" s="508"/>
      <c r="G139" s="508"/>
      <c r="H139" s="508"/>
      <c r="I139" s="508"/>
      <c r="J139" s="508"/>
      <c r="K139" s="508"/>
      <c r="L139" s="504"/>
      <c r="M139" s="504"/>
      <c r="N139" s="504"/>
      <c r="O139" s="508"/>
      <c r="P139" s="504"/>
    </row>
    <row r="140" spans="1:24" s="503" customFormat="1" ht="30.75" customHeight="1" outlineLevel="2" thickBot="1" x14ac:dyDescent="0.4">
      <c r="A140" s="481"/>
      <c r="B140" s="481"/>
      <c r="C140" s="509"/>
      <c r="D140" s="509" t="s">
        <v>712</v>
      </c>
      <c r="E140" s="510" t="s">
        <v>713</v>
      </c>
      <c r="F140" s="511" t="s">
        <v>713</v>
      </c>
      <c r="G140" s="511" t="s">
        <v>713</v>
      </c>
      <c r="H140" s="511" t="s">
        <v>713</v>
      </c>
      <c r="I140" s="511" t="s">
        <v>713</v>
      </c>
      <c r="J140" s="511" t="s">
        <v>713</v>
      </c>
      <c r="K140" s="511" t="s">
        <v>713</v>
      </c>
      <c r="L140" s="511" t="s">
        <v>713</v>
      </c>
      <c r="M140" s="511" t="s">
        <v>713</v>
      </c>
      <c r="N140" s="511" t="s">
        <v>713</v>
      </c>
      <c r="O140" s="511" t="s">
        <v>713</v>
      </c>
      <c r="P140" s="504"/>
    </row>
    <row r="141" spans="1:24" s="503" customFormat="1" ht="30.75" customHeight="1" outlineLevel="2" thickBot="1" x14ac:dyDescent="0.4">
      <c r="A141" s="481"/>
      <c r="B141" s="481"/>
      <c r="C141" s="509"/>
      <c r="D141" s="509" t="s">
        <v>714</v>
      </c>
      <c r="E141" s="510" t="s">
        <v>30</v>
      </c>
      <c r="F141" s="512"/>
      <c r="G141" s="511"/>
      <c r="H141" s="511"/>
      <c r="I141" s="511"/>
      <c r="J141" s="511"/>
      <c r="K141" s="511"/>
      <c r="L141" s="517"/>
      <c r="M141" s="518"/>
      <c r="N141" s="513"/>
      <c r="O141" s="516"/>
      <c r="P141" s="504"/>
    </row>
    <row r="142" spans="1:24" ht="20.25" customHeight="1" outlineLevel="1" thickBot="1" x14ac:dyDescent="0.4">
      <c r="C142" s="481"/>
      <c r="D142" s="481"/>
      <c r="E142" s="481"/>
      <c r="F142" s="481"/>
      <c r="G142" s="482"/>
      <c r="H142" s="482"/>
      <c r="I142" s="482"/>
      <c r="J142" s="482"/>
      <c r="K142" s="482"/>
      <c r="L142" s="482"/>
      <c r="M142" s="482"/>
      <c r="N142" s="482"/>
      <c r="O142" s="482"/>
      <c r="P142" s="481"/>
    </row>
    <row r="143" spans="1:24" ht="17.25" customHeight="1" thickBot="1" x14ac:dyDescent="0.4">
      <c r="C143" s="483" t="s">
        <v>677</v>
      </c>
      <c r="D143" s="484" t="s">
        <v>678</v>
      </c>
      <c r="E143" s="481"/>
      <c r="F143" s="481"/>
      <c r="G143" s="482"/>
      <c r="H143" s="482"/>
      <c r="I143" s="482"/>
      <c r="J143" s="482"/>
      <c r="K143" s="482"/>
      <c r="L143" s="482"/>
      <c r="M143" s="482"/>
      <c r="N143" s="482"/>
      <c r="O143" s="482"/>
      <c r="P143" s="481"/>
    </row>
    <row r="144" spans="1:24" s="492" customFormat="1" ht="36.75" customHeight="1" thickBot="1" x14ac:dyDescent="0.7">
      <c r="A144" s="481"/>
      <c r="B144" s="486" t="s">
        <v>679</v>
      </c>
      <c r="C144" s="487" t="s">
        <v>107</v>
      </c>
      <c r="D144" s="514" t="str">
        <f>VLOOKUP(C144,overview_of_services!$B$2:$I$88,3,FALSE)</f>
        <v>Sequencing of different heat generators</v>
      </c>
      <c r="E144" s="489"/>
      <c r="F144" s="490" t="s">
        <v>680</v>
      </c>
      <c r="G144" s="578" t="str">
        <f>VLOOKUP(C144,overview_of_services!$B$2:$I$88,2,FALSE)</f>
        <v>Control heat production facilities</v>
      </c>
      <c r="H144" s="578"/>
      <c r="I144" s="490"/>
      <c r="J144" s="491"/>
      <c r="K144" s="491"/>
      <c r="L144" s="491"/>
      <c r="M144" s="491"/>
      <c r="N144" s="491"/>
      <c r="O144" s="491"/>
      <c r="R144" s="492" t="s">
        <v>681</v>
      </c>
      <c r="S144" s="492">
        <f>ROW()</f>
        <v>144</v>
      </c>
    </row>
    <row r="145" spans="1:39" ht="5.25" customHeight="1" x14ac:dyDescent="0.35">
      <c r="C145" s="493"/>
      <c r="D145" s="493"/>
      <c r="E145" s="493"/>
      <c r="F145" s="493"/>
      <c r="G145" s="493"/>
      <c r="H145" s="493"/>
      <c r="I145" s="493"/>
      <c r="J145" s="493"/>
      <c r="K145" s="493"/>
      <c r="L145" s="493"/>
      <c r="M145" s="493"/>
      <c r="N145" s="493"/>
      <c r="O145" s="494"/>
      <c r="P145" s="481"/>
    </row>
    <row r="146" spans="1:39" ht="20.25" customHeight="1" outlineLevel="1" x14ac:dyDescent="0.35">
      <c r="C146" s="575" t="s">
        <v>682</v>
      </c>
      <c r="D146" s="575"/>
      <c r="E146" s="577" t="s">
        <v>683</v>
      </c>
      <c r="F146" s="577"/>
      <c r="G146" s="577"/>
      <c r="H146" s="577"/>
      <c r="I146" s="577"/>
      <c r="J146" s="577"/>
      <c r="K146" s="577"/>
      <c r="L146" s="573" t="s">
        <v>684</v>
      </c>
      <c r="M146" s="574"/>
      <c r="N146" s="569" t="s">
        <v>685</v>
      </c>
      <c r="O146" s="571" t="s">
        <v>686</v>
      </c>
      <c r="P146" s="481"/>
    </row>
    <row r="147" spans="1:39" ht="36.75" customHeight="1" outlineLevel="1" thickBot="1" x14ac:dyDescent="0.4">
      <c r="C147" s="576"/>
      <c r="D147" s="576"/>
      <c r="E147" s="495" t="s">
        <v>687</v>
      </c>
      <c r="F147" s="495" t="s">
        <v>688</v>
      </c>
      <c r="G147" s="495" t="s">
        <v>689</v>
      </c>
      <c r="H147" s="495" t="s">
        <v>690</v>
      </c>
      <c r="I147" s="495" t="s">
        <v>616</v>
      </c>
      <c r="J147" s="495" t="s">
        <v>691</v>
      </c>
      <c r="K147" s="495" t="s">
        <v>692</v>
      </c>
      <c r="L147" s="496" t="s">
        <v>693</v>
      </c>
      <c r="M147" s="496" t="s">
        <v>694</v>
      </c>
      <c r="N147" s="570"/>
      <c r="O147" s="572"/>
      <c r="P147" s="481"/>
    </row>
    <row r="148" spans="1:39" s="503" customFormat="1" ht="35.25" customHeight="1" outlineLevel="1" thickTop="1" x14ac:dyDescent="0.5">
      <c r="A148" s="481"/>
      <c r="B148" s="481"/>
      <c r="C148" s="497" t="s">
        <v>695</v>
      </c>
      <c r="D148" s="498" t="str">
        <f>VLOOKUP(C144,overview_of_services!$B$2:$I$88,4,FALSE)</f>
        <v>Priorities only based on running time</v>
      </c>
      <c r="E148" s="499">
        <v>0</v>
      </c>
      <c r="F148" s="499">
        <v>0</v>
      </c>
      <c r="G148" s="499">
        <v>0</v>
      </c>
      <c r="H148" s="499">
        <v>0</v>
      </c>
      <c r="I148" s="499">
        <v>0</v>
      </c>
      <c r="J148" s="499">
        <v>0</v>
      </c>
      <c r="K148" s="499">
        <v>0</v>
      </c>
      <c r="L148" s="500" t="s">
        <v>696</v>
      </c>
      <c r="M148" s="500" t="s">
        <v>696</v>
      </c>
      <c r="N148" s="501">
        <v>0</v>
      </c>
      <c r="O148" s="502" t="s">
        <v>697</v>
      </c>
      <c r="P148" s="504"/>
      <c r="R148" s="504">
        <f t="shared" ref="R148:S152" si="21">IF(E148=0,0,(IF(E148="+",1,(IF(E148="++",2,(IF(E148="+++",3,(IF(E148="++++",4,(IF(E148="-",-1,(IF(E148="--",-2,(IF(E148="---",-3,(IF(E148="----",-4,"NA")))))))))))))))))</f>
        <v>0</v>
      </c>
      <c r="S148" s="504">
        <f t="shared" si="21"/>
        <v>0</v>
      </c>
      <c r="T148" s="504">
        <f t="shared" ref="T148:X152" si="22">IF(G148=0,0,(IF(G148="+",1,(IF(G148="++",2,(IF(G148="+++",3,(IF(G148="++++",4,(IF(G148="-",-1,(IF(G148="--",-2,(IF(G148="---",-3,(IF(G148="----",-4,"NA")))))))))))))))))</f>
        <v>0</v>
      </c>
      <c r="U148" s="504">
        <f t="shared" si="22"/>
        <v>0</v>
      </c>
      <c r="V148" s="504">
        <f t="shared" si="22"/>
        <v>0</v>
      </c>
      <c r="W148" s="504">
        <f t="shared" si="22"/>
        <v>0</v>
      </c>
      <c r="X148" s="504">
        <f t="shared" si="22"/>
        <v>0</v>
      </c>
      <c r="AC148" s="485"/>
      <c r="AD148" s="485"/>
      <c r="AE148" s="485"/>
      <c r="AF148" s="485"/>
      <c r="AG148" s="485"/>
      <c r="AH148" s="485"/>
      <c r="AI148" s="485"/>
      <c r="AJ148" s="485"/>
      <c r="AK148" s="485"/>
      <c r="AL148" s="485"/>
      <c r="AM148" s="485"/>
    </row>
    <row r="149" spans="1:39" s="503" customFormat="1" ht="43.5" outlineLevel="1" x14ac:dyDescent="0.5">
      <c r="A149" s="481"/>
      <c r="B149" s="481"/>
      <c r="C149" s="505" t="s">
        <v>699</v>
      </c>
      <c r="D149" s="498" t="str">
        <f>VLOOKUP(C144,overview_of_services!$B$2:$I$88,5,FALSE)</f>
        <v>Control according to fixed priority list: e.g. heat pump prior to hot water boiler</v>
      </c>
      <c r="E149" s="499" t="s">
        <v>700</v>
      </c>
      <c r="F149" s="499">
        <v>0</v>
      </c>
      <c r="G149" s="499">
        <v>0</v>
      </c>
      <c r="H149" s="499">
        <v>0</v>
      </c>
      <c r="I149" s="499">
        <v>0</v>
      </c>
      <c r="J149" s="499">
        <v>0</v>
      </c>
      <c r="K149" s="499">
        <v>0</v>
      </c>
      <c r="L149" s="500" t="s">
        <v>708</v>
      </c>
      <c r="M149" s="500" t="s">
        <v>718</v>
      </c>
      <c r="N149" s="501">
        <v>1</v>
      </c>
      <c r="O149" s="502" t="s">
        <v>734</v>
      </c>
      <c r="P149" s="504"/>
      <c r="R149" s="504">
        <f t="shared" si="21"/>
        <v>1</v>
      </c>
      <c r="S149" s="504">
        <f t="shared" si="21"/>
        <v>0</v>
      </c>
      <c r="T149" s="504">
        <f t="shared" si="22"/>
        <v>0</v>
      </c>
      <c r="U149" s="504">
        <f t="shared" si="22"/>
        <v>0</v>
      </c>
      <c r="V149" s="504">
        <f t="shared" si="22"/>
        <v>0</v>
      </c>
      <c r="W149" s="504">
        <f t="shared" si="22"/>
        <v>0</v>
      </c>
      <c r="X149" s="504">
        <f t="shared" si="22"/>
        <v>0</v>
      </c>
      <c r="AC149" s="485"/>
      <c r="AD149" s="485"/>
      <c r="AE149" s="485"/>
      <c r="AF149" s="485"/>
      <c r="AG149" s="485"/>
      <c r="AH149" s="485"/>
      <c r="AI149" s="485"/>
      <c r="AJ149" s="485"/>
      <c r="AK149" s="485"/>
      <c r="AL149" s="485"/>
      <c r="AM149" s="485"/>
    </row>
    <row r="150" spans="1:39" s="503" customFormat="1" ht="72.5" outlineLevel="1" x14ac:dyDescent="0.5">
      <c r="A150" s="481"/>
      <c r="B150" s="481"/>
      <c r="C150" s="505" t="s">
        <v>703</v>
      </c>
      <c r="D150" s="506" t="str">
        <f>VLOOKUP(C144,overview_of_services!$B$2:$I$88,6,FALSE)</f>
        <v>Control according to dynamic priority list (based on current efficiency and capacity of generators, e.g. solar, geothermal heat, cogeneration plant, fossil fuels)</v>
      </c>
      <c r="E150" s="507" t="s">
        <v>704</v>
      </c>
      <c r="F150" s="499">
        <v>0</v>
      </c>
      <c r="G150" s="499">
        <v>0</v>
      </c>
      <c r="H150" s="499">
        <v>0</v>
      </c>
      <c r="I150" s="499">
        <v>0</v>
      </c>
      <c r="J150" s="499">
        <v>0</v>
      </c>
      <c r="K150" s="499">
        <v>0</v>
      </c>
      <c r="L150" s="500" t="s">
        <v>708</v>
      </c>
      <c r="M150" s="500" t="s">
        <v>708</v>
      </c>
      <c r="N150" s="501">
        <v>2</v>
      </c>
      <c r="O150" s="502" t="s">
        <v>735</v>
      </c>
      <c r="P150" s="504"/>
      <c r="R150" s="504">
        <f t="shared" si="21"/>
        <v>2</v>
      </c>
      <c r="S150" s="504">
        <f t="shared" si="21"/>
        <v>0</v>
      </c>
      <c r="T150" s="504">
        <f t="shared" si="22"/>
        <v>0</v>
      </c>
      <c r="U150" s="504">
        <f t="shared" si="22"/>
        <v>0</v>
      </c>
      <c r="V150" s="504">
        <f t="shared" si="22"/>
        <v>0</v>
      </c>
      <c r="W150" s="504">
        <f t="shared" si="22"/>
        <v>0</v>
      </c>
      <c r="X150" s="504">
        <f t="shared" si="22"/>
        <v>0</v>
      </c>
      <c r="AC150" s="485"/>
      <c r="AD150" s="485"/>
      <c r="AE150" s="485"/>
      <c r="AF150" s="485"/>
      <c r="AG150" s="485"/>
      <c r="AH150" s="485"/>
      <c r="AI150" s="485"/>
      <c r="AJ150" s="485"/>
      <c r="AK150" s="485"/>
      <c r="AL150" s="485"/>
      <c r="AM150" s="485"/>
    </row>
    <row r="151" spans="1:39" s="503" customFormat="1" ht="46" customHeight="1" outlineLevel="1" x14ac:dyDescent="0.5">
      <c r="A151" s="481"/>
      <c r="B151" s="481"/>
      <c r="C151" s="505" t="s">
        <v>706</v>
      </c>
      <c r="D151" s="506" t="str">
        <f>VLOOKUP(C144,overview_of_services!$B$2:$I$88,7,FALSE)</f>
        <v>Control according to dynamic priority list (based on current AND predicted load, efficiency and capacity of generators)</v>
      </c>
      <c r="E151" s="507" t="s">
        <v>707</v>
      </c>
      <c r="F151" s="499">
        <v>0</v>
      </c>
      <c r="G151" s="499">
        <v>0</v>
      </c>
      <c r="H151" s="499">
        <v>0</v>
      </c>
      <c r="I151" s="499">
        <v>0</v>
      </c>
      <c r="J151" s="499">
        <v>0</v>
      </c>
      <c r="K151" s="499">
        <v>0</v>
      </c>
      <c r="L151" s="500" t="s">
        <v>708</v>
      </c>
      <c r="M151" s="500" t="s">
        <v>708</v>
      </c>
      <c r="N151" s="501">
        <v>3</v>
      </c>
      <c r="O151" s="502" t="s">
        <v>734</v>
      </c>
      <c r="P151" s="504"/>
      <c r="R151" s="504">
        <f t="shared" si="21"/>
        <v>3</v>
      </c>
      <c r="S151" s="504">
        <f t="shared" si="21"/>
        <v>0</v>
      </c>
      <c r="T151" s="504">
        <f t="shared" si="22"/>
        <v>0</v>
      </c>
      <c r="U151" s="504">
        <f t="shared" si="22"/>
        <v>0</v>
      </c>
      <c r="V151" s="504">
        <f t="shared" si="22"/>
        <v>0</v>
      </c>
      <c r="W151" s="504">
        <f t="shared" si="22"/>
        <v>0</v>
      </c>
      <c r="X151" s="504">
        <f t="shared" si="22"/>
        <v>0</v>
      </c>
      <c r="AC151" s="485"/>
      <c r="AD151" s="485"/>
      <c r="AE151" s="485"/>
      <c r="AF151" s="485"/>
      <c r="AG151" s="485"/>
      <c r="AH151" s="485"/>
      <c r="AI151" s="485"/>
      <c r="AJ151" s="485"/>
      <c r="AK151" s="485"/>
      <c r="AL151" s="485"/>
      <c r="AM151" s="485"/>
    </row>
    <row r="152" spans="1:39" s="503" customFormat="1" ht="43.5" outlineLevel="1" x14ac:dyDescent="0.5">
      <c r="A152" s="481"/>
      <c r="B152" s="481"/>
      <c r="C152" s="505" t="s">
        <v>710</v>
      </c>
      <c r="D152" s="506" t="str">
        <f>VLOOKUP(C144,overview_of_services!$B$2:$I$88,8,FALSE)</f>
        <v>Control according to dynamic priority list (based on current AND predicted load, efficiency, capacity of generators AND external signals from grid)</v>
      </c>
      <c r="E152" s="507" t="s">
        <v>707</v>
      </c>
      <c r="F152" s="519" t="s">
        <v>704</v>
      </c>
      <c r="G152" s="507">
        <v>0</v>
      </c>
      <c r="H152" s="507">
        <v>0</v>
      </c>
      <c r="I152" s="499">
        <v>0</v>
      </c>
      <c r="J152" s="499">
        <v>0</v>
      </c>
      <c r="K152" s="499">
        <v>0</v>
      </c>
      <c r="L152" s="500" t="s">
        <v>708</v>
      </c>
      <c r="M152" s="500" t="s">
        <v>708</v>
      </c>
      <c r="N152" s="501">
        <v>3</v>
      </c>
      <c r="O152" s="502"/>
      <c r="P152" s="504"/>
      <c r="R152" s="504">
        <f t="shared" si="21"/>
        <v>3</v>
      </c>
      <c r="S152" s="504">
        <f t="shared" si="21"/>
        <v>2</v>
      </c>
      <c r="T152" s="504">
        <f t="shared" si="22"/>
        <v>0</v>
      </c>
      <c r="U152" s="504">
        <f t="shared" si="22"/>
        <v>0</v>
      </c>
      <c r="V152" s="504">
        <f t="shared" si="22"/>
        <v>0</v>
      </c>
      <c r="W152" s="504">
        <f t="shared" si="22"/>
        <v>0</v>
      </c>
      <c r="X152" s="504">
        <f t="shared" si="22"/>
        <v>0</v>
      </c>
      <c r="AC152" s="485"/>
      <c r="AD152" s="485"/>
      <c r="AE152" s="485"/>
      <c r="AF152" s="485"/>
      <c r="AG152" s="485"/>
      <c r="AH152" s="485"/>
      <c r="AI152" s="485"/>
      <c r="AJ152" s="485"/>
      <c r="AK152" s="485"/>
      <c r="AL152" s="485"/>
      <c r="AM152" s="485"/>
    </row>
    <row r="153" spans="1:39" s="503" customFormat="1" ht="6" customHeight="1" outlineLevel="2" thickBot="1" x14ac:dyDescent="0.4">
      <c r="A153" s="481"/>
      <c r="B153" s="481"/>
      <c r="C153" s="504"/>
      <c r="D153" s="504"/>
      <c r="E153" s="508"/>
      <c r="F153" s="508"/>
      <c r="G153" s="508"/>
      <c r="H153" s="508"/>
      <c r="I153" s="508"/>
      <c r="J153" s="508"/>
      <c r="K153" s="508"/>
      <c r="L153" s="504"/>
      <c r="M153" s="504"/>
      <c r="N153" s="504"/>
      <c r="O153" s="508"/>
      <c r="P153" s="504"/>
      <c r="AC153" s="485"/>
      <c r="AD153" s="485"/>
      <c r="AE153" s="485"/>
      <c r="AF153" s="485"/>
      <c r="AG153" s="485"/>
      <c r="AH153" s="485"/>
      <c r="AI153" s="485"/>
      <c r="AJ153" s="485"/>
      <c r="AK153" s="485"/>
      <c r="AL153" s="485"/>
      <c r="AM153" s="485"/>
    </row>
    <row r="154" spans="1:39" s="503" customFormat="1" ht="30.75" customHeight="1" outlineLevel="2" thickBot="1" x14ac:dyDescent="0.4">
      <c r="A154" s="481"/>
      <c r="B154" s="481"/>
      <c r="C154" s="509"/>
      <c r="D154" s="509" t="s">
        <v>712</v>
      </c>
      <c r="E154" s="510" t="s">
        <v>713</v>
      </c>
      <c r="F154" s="511" t="s">
        <v>713</v>
      </c>
      <c r="G154" s="511" t="s">
        <v>713</v>
      </c>
      <c r="H154" s="511" t="s">
        <v>713</v>
      </c>
      <c r="I154" s="511" t="s">
        <v>713</v>
      </c>
      <c r="J154" s="511" t="s">
        <v>713</v>
      </c>
      <c r="K154" s="511" t="s">
        <v>713</v>
      </c>
      <c r="L154" s="511" t="s">
        <v>729</v>
      </c>
      <c r="M154" s="511" t="s">
        <v>729</v>
      </c>
      <c r="N154" s="511" t="s">
        <v>713</v>
      </c>
      <c r="O154" s="511" t="s">
        <v>713</v>
      </c>
      <c r="P154" s="504"/>
      <c r="AC154" s="485"/>
      <c r="AD154" s="485"/>
      <c r="AE154" s="485"/>
      <c r="AF154" s="485"/>
      <c r="AG154" s="485"/>
      <c r="AH154" s="485"/>
      <c r="AI154" s="485"/>
      <c r="AJ154" s="485"/>
      <c r="AK154" s="485"/>
      <c r="AL154" s="485"/>
      <c r="AM154" s="485"/>
    </row>
    <row r="155" spans="1:39" s="503" customFormat="1" ht="30.75" customHeight="1" outlineLevel="2" thickBot="1" x14ac:dyDescent="0.4">
      <c r="A155" s="481"/>
      <c r="B155" s="481"/>
      <c r="C155" s="509"/>
      <c r="D155" s="509" t="s">
        <v>714</v>
      </c>
      <c r="E155" s="510" t="s">
        <v>30</v>
      </c>
      <c r="F155" s="512"/>
      <c r="G155" s="511"/>
      <c r="H155" s="511"/>
      <c r="I155" s="511"/>
      <c r="J155" s="511"/>
      <c r="K155" s="511"/>
      <c r="L155" s="510" t="s">
        <v>30</v>
      </c>
      <c r="M155" s="510" t="s">
        <v>30</v>
      </c>
      <c r="N155" s="513"/>
      <c r="O155" s="510" t="s">
        <v>30</v>
      </c>
      <c r="P155" s="504"/>
    </row>
    <row r="156" spans="1:39" ht="20.25" customHeight="1" outlineLevel="1" thickBot="1" x14ac:dyDescent="0.4">
      <c r="C156" s="481"/>
      <c r="D156" s="481"/>
      <c r="E156" s="481"/>
      <c r="F156" s="481"/>
      <c r="G156" s="482"/>
      <c r="H156" s="482"/>
      <c r="I156" s="482"/>
      <c r="J156" s="482"/>
      <c r="K156" s="482"/>
      <c r="L156" s="482"/>
      <c r="M156" s="482"/>
      <c r="N156" s="482"/>
      <c r="O156" s="482"/>
      <c r="P156" s="481"/>
    </row>
    <row r="157" spans="1:39" ht="17.25" customHeight="1" thickBot="1" x14ac:dyDescent="0.4">
      <c r="C157" s="483" t="s">
        <v>677</v>
      </c>
      <c r="D157" s="484" t="s">
        <v>678</v>
      </c>
      <c r="E157" s="481"/>
      <c r="F157" s="481"/>
      <c r="G157" s="482"/>
      <c r="H157" s="482"/>
      <c r="I157" s="482"/>
      <c r="J157" s="482"/>
      <c r="K157" s="482"/>
      <c r="L157" s="482"/>
      <c r="M157" s="482"/>
      <c r="N157" s="482"/>
      <c r="O157" s="482"/>
      <c r="P157" s="481"/>
    </row>
    <row r="158" spans="1:39" s="492" customFormat="1" ht="36.75" customHeight="1" thickBot="1" x14ac:dyDescent="0.7">
      <c r="A158" s="481"/>
      <c r="B158" s="486" t="s">
        <v>679</v>
      </c>
      <c r="C158" s="487" t="s">
        <v>114</v>
      </c>
      <c r="D158" s="514" t="str">
        <f>VLOOKUP(C158,overview_of_services!$B$2:$I$88,3,FALSE)</f>
        <v>Control of on-site waste heat recovery  fed into the heating system (e.g. excess heat from data centers)</v>
      </c>
      <c r="E158" s="489"/>
      <c r="F158" s="490" t="s">
        <v>680</v>
      </c>
      <c r="G158" s="578" t="str">
        <f>VLOOKUP(C158,overview_of_services!$B$2:$I$88,2,FALSE)</f>
        <v>Control heat production facilities</v>
      </c>
      <c r="H158" s="578"/>
      <c r="I158" s="490"/>
      <c r="J158" s="491"/>
      <c r="K158" s="491"/>
      <c r="L158" s="491"/>
      <c r="M158" s="491"/>
      <c r="N158" s="491"/>
      <c r="O158" s="491"/>
      <c r="R158" s="492" t="s">
        <v>681</v>
      </c>
      <c r="S158" s="492">
        <f>ROW()</f>
        <v>158</v>
      </c>
    </row>
    <row r="159" spans="1:39" ht="5.25" customHeight="1" x14ac:dyDescent="0.35">
      <c r="C159" s="493"/>
      <c r="D159" s="493"/>
      <c r="E159" s="493"/>
      <c r="F159" s="493"/>
      <c r="G159" s="493"/>
      <c r="H159" s="493"/>
      <c r="I159" s="493"/>
      <c r="J159" s="493"/>
      <c r="K159" s="493"/>
      <c r="L159" s="493"/>
      <c r="M159" s="493"/>
      <c r="N159" s="493"/>
      <c r="O159" s="494"/>
      <c r="P159" s="481"/>
    </row>
    <row r="160" spans="1:39" ht="20.25" customHeight="1" outlineLevel="1" x14ac:dyDescent="0.35">
      <c r="C160" s="575" t="s">
        <v>682</v>
      </c>
      <c r="D160" s="575"/>
      <c r="E160" s="577" t="s">
        <v>683</v>
      </c>
      <c r="F160" s="577"/>
      <c r="G160" s="577"/>
      <c r="H160" s="577"/>
      <c r="I160" s="577"/>
      <c r="J160" s="577"/>
      <c r="K160" s="577"/>
      <c r="L160" s="573" t="s">
        <v>684</v>
      </c>
      <c r="M160" s="574"/>
      <c r="N160" s="569" t="s">
        <v>685</v>
      </c>
      <c r="O160" s="571" t="s">
        <v>686</v>
      </c>
      <c r="P160" s="481"/>
    </row>
    <row r="161" spans="1:24" ht="36.75" customHeight="1" outlineLevel="1" thickBot="1" x14ac:dyDescent="0.4">
      <c r="C161" s="576"/>
      <c r="D161" s="576"/>
      <c r="E161" s="495" t="s">
        <v>687</v>
      </c>
      <c r="F161" s="495" t="s">
        <v>688</v>
      </c>
      <c r="G161" s="495" t="s">
        <v>689</v>
      </c>
      <c r="H161" s="495" t="s">
        <v>690</v>
      </c>
      <c r="I161" s="495" t="s">
        <v>616</v>
      </c>
      <c r="J161" s="495" t="s">
        <v>691</v>
      </c>
      <c r="K161" s="495" t="s">
        <v>692</v>
      </c>
      <c r="L161" s="496" t="s">
        <v>693</v>
      </c>
      <c r="M161" s="496" t="s">
        <v>694</v>
      </c>
      <c r="N161" s="570"/>
      <c r="O161" s="572"/>
      <c r="P161" s="481"/>
    </row>
    <row r="162" spans="1:24" s="503" customFormat="1" ht="35.25" customHeight="1" outlineLevel="1" thickTop="1" x14ac:dyDescent="0.5">
      <c r="A162" s="481"/>
      <c r="B162" s="481"/>
      <c r="C162" s="497" t="s">
        <v>695</v>
      </c>
      <c r="D162" s="498" t="str">
        <f>VLOOKUP(C158,overview_of_services!$B$2:$I$88,4,FALSE)</f>
        <v>No heat recovery control</v>
      </c>
      <c r="E162" s="499">
        <v>0</v>
      </c>
      <c r="F162" s="499">
        <v>0</v>
      </c>
      <c r="G162" s="499">
        <v>0</v>
      </c>
      <c r="H162" s="499">
        <v>0</v>
      </c>
      <c r="I162" s="499">
        <v>0</v>
      </c>
      <c r="J162" s="499">
        <v>0</v>
      </c>
      <c r="K162" s="499">
        <v>0</v>
      </c>
      <c r="L162" s="500" t="s">
        <v>696</v>
      </c>
      <c r="M162" s="500" t="s">
        <v>696</v>
      </c>
      <c r="N162" s="501">
        <v>0</v>
      </c>
      <c r="O162" s="502" t="s">
        <v>721</v>
      </c>
      <c r="P162" s="504"/>
      <c r="R162" s="504">
        <f t="shared" ref="R162:S166" si="23">IF(E162=0,0,(IF(E162="+",1,(IF(E162="++",2,(IF(E162="+++",3,(IF(E162="++++",4,(IF(E162="-",-1,(IF(E162="--",-2,(IF(E162="---",-3,(IF(E162="----",-4,"NA")))))))))))))))))</f>
        <v>0</v>
      </c>
      <c r="S162" s="504">
        <f t="shared" si="23"/>
        <v>0</v>
      </c>
      <c r="T162" s="504">
        <f t="shared" ref="T162:X166" si="24">IF(G162=0,0,(IF(G162="+",1,(IF(G162="++",2,(IF(G162="+++",3,(IF(G162="++++",4,(IF(G162="-",-1,(IF(G162="--",-2,(IF(G162="---",-3,(IF(G162="----",-4,"NA")))))))))))))))))</f>
        <v>0</v>
      </c>
      <c r="U162" s="504">
        <f t="shared" si="24"/>
        <v>0</v>
      </c>
      <c r="V162" s="504">
        <f t="shared" si="24"/>
        <v>0</v>
      </c>
      <c r="W162" s="504">
        <f t="shared" si="24"/>
        <v>0</v>
      </c>
      <c r="X162" s="504">
        <f t="shared" si="24"/>
        <v>0</v>
      </c>
    </row>
    <row r="163" spans="1:24" s="503" customFormat="1" ht="35.25" customHeight="1" outlineLevel="1" x14ac:dyDescent="0.5">
      <c r="A163" s="481"/>
      <c r="B163" s="481"/>
      <c r="C163" s="505" t="s">
        <v>699</v>
      </c>
      <c r="D163" s="506" t="str">
        <f>VLOOKUP(C158,overview_of_services!$B$2:$I$88,5,FALSE)</f>
        <v xml:space="preserve">Heat recovery on/off control based on availability </v>
      </c>
      <c r="E163" s="499" t="s">
        <v>700</v>
      </c>
      <c r="F163" s="499">
        <v>0</v>
      </c>
      <c r="G163" s="499">
        <v>0</v>
      </c>
      <c r="H163" s="499">
        <v>0</v>
      </c>
      <c r="I163" s="499">
        <v>0</v>
      </c>
      <c r="J163" s="499">
        <v>0</v>
      </c>
      <c r="K163" s="499">
        <v>0</v>
      </c>
      <c r="L163" s="500" t="s">
        <v>708</v>
      </c>
      <c r="M163" s="500" t="s">
        <v>718</v>
      </c>
      <c r="N163" s="501">
        <v>1</v>
      </c>
      <c r="O163" s="502" t="s">
        <v>721</v>
      </c>
      <c r="P163" s="504"/>
      <c r="R163" s="504">
        <f t="shared" si="23"/>
        <v>1</v>
      </c>
      <c r="S163" s="504">
        <f t="shared" si="23"/>
        <v>0</v>
      </c>
      <c r="T163" s="504">
        <f t="shared" si="24"/>
        <v>0</v>
      </c>
      <c r="U163" s="504">
        <f t="shared" si="24"/>
        <v>0</v>
      </c>
      <c r="V163" s="504">
        <f t="shared" si="24"/>
        <v>0</v>
      </c>
      <c r="W163" s="504">
        <f t="shared" si="24"/>
        <v>0</v>
      </c>
      <c r="X163" s="504">
        <f t="shared" si="24"/>
        <v>0</v>
      </c>
    </row>
    <row r="164" spans="1:24" s="503" customFormat="1" ht="35.25" customHeight="1" outlineLevel="1" x14ac:dyDescent="0.5">
      <c r="A164" s="481"/>
      <c r="B164" s="481"/>
      <c r="C164" s="505" t="s">
        <v>703</v>
      </c>
      <c r="D164" s="506" t="str">
        <f>VLOOKUP(C158,overview_of_services!$B$2:$I$88,6,FALSE)</f>
        <v>Variable control of waste heat recovery (modulating power based on needs and waste heat availability)</v>
      </c>
      <c r="E164" s="507" t="s">
        <v>704</v>
      </c>
      <c r="F164" s="499">
        <v>0</v>
      </c>
      <c r="G164" s="499">
        <v>0</v>
      </c>
      <c r="H164" s="499">
        <v>0</v>
      </c>
      <c r="I164" s="499">
        <v>0</v>
      </c>
      <c r="J164" s="499">
        <v>0</v>
      </c>
      <c r="K164" s="499">
        <v>0</v>
      </c>
      <c r="L164" s="500" t="s">
        <v>708</v>
      </c>
      <c r="M164" s="500" t="s">
        <v>718</v>
      </c>
      <c r="N164" s="501">
        <v>2</v>
      </c>
      <c r="O164" s="502" t="s">
        <v>721</v>
      </c>
      <c r="P164" s="504"/>
      <c r="R164" s="504">
        <f t="shared" si="23"/>
        <v>2</v>
      </c>
      <c r="S164" s="504">
        <f t="shared" si="23"/>
        <v>0</v>
      </c>
      <c r="T164" s="504">
        <f t="shared" si="24"/>
        <v>0</v>
      </c>
      <c r="U164" s="504">
        <f t="shared" si="24"/>
        <v>0</v>
      </c>
      <c r="V164" s="504">
        <f t="shared" si="24"/>
        <v>0</v>
      </c>
      <c r="W164" s="504">
        <f t="shared" si="24"/>
        <v>0</v>
      </c>
      <c r="X164" s="504">
        <f t="shared" si="24"/>
        <v>0</v>
      </c>
    </row>
    <row r="165" spans="1:24" s="503" customFormat="1" ht="35.25" customHeight="1" outlineLevel="1" x14ac:dyDescent="0.5">
      <c r="A165" s="481"/>
      <c r="B165" s="481"/>
      <c r="C165" s="505" t="s">
        <v>706</v>
      </c>
      <c r="D165" s="506" t="str">
        <f>VLOOKUP(C158,overview_of_services!$B$2:$I$88,7,FALSE)</f>
        <v xml:space="preserve">Variable control of waste heat recovery with possibility to store excess heat or time shift heat recovery </v>
      </c>
      <c r="E165" s="507" t="s">
        <v>707</v>
      </c>
      <c r="F165" s="507" t="s">
        <v>704</v>
      </c>
      <c r="G165" s="499">
        <v>0</v>
      </c>
      <c r="H165" s="499">
        <v>0</v>
      </c>
      <c r="I165" s="499">
        <v>0</v>
      </c>
      <c r="J165" s="499">
        <v>0</v>
      </c>
      <c r="K165" s="499">
        <v>0</v>
      </c>
      <c r="L165" s="500" t="s">
        <v>708</v>
      </c>
      <c r="M165" s="500" t="s">
        <v>708</v>
      </c>
      <c r="N165" s="501">
        <v>3</v>
      </c>
      <c r="O165" s="502" t="s">
        <v>721</v>
      </c>
      <c r="P165" s="504"/>
      <c r="R165" s="504">
        <f t="shared" si="23"/>
        <v>3</v>
      </c>
      <c r="S165" s="504">
        <f t="shared" si="23"/>
        <v>2</v>
      </c>
      <c r="T165" s="504">
        <f t="shared" si="24"/>
        <v>0</v>
      </c>
      <c r="U165" s="504">
        <f t="shared" si="24"/>
        <v>0</v>
      </c>
      <c r="V165" s="504">
        <f t="shared" si="24"/>
        <v>0</v>
      </c>
      <c r="W165" s="504">
        <f t="shared" si="24"/>
        <v>0</v>
      </c>
      <c r="X165" s="504">
        <f t="shared" si="24"/>
        <v>0</v>
      </c>
    </row>
    <row r="166" spans="1:24" s="503" customFormat="1" ht="35.25" customHeight="1" outlineLevel="1" x14ac:dyDescent="0.5">
      <c r="A166" s="481"/>
      <c r="B166" s="481"/>
      <c r="C166" s="505" t="s">
        <v>710</v>
      </c>
      <c r="D166" s="506">
        <f>VLOOKUP(C158,overview_of_services!$B$2:$I$88,8,FALSE)</f>
        <v>0</v>
      </c>
      <c r="E166" s="507"/>
      <c r="F166" s="499"/>
      <c r="G166" s="507"/>
      <c r="H166" s="507"/>
      <c r="I166" s="499"/>
      <c r="J166" s="499"/>
      <c r="K166" s="499"/>
      <c r="L166" s="500"/>
      <c r="M166" s="500"/>
      <c r="N166" s="501"/>
      <c r="O166" s="502"/>
      <c r="P166" s="504"/>
      <c r="R166" s="504">
        <f t="shared" si="23"/>
        <v>0</v>
      </c>
      <c r="S166" s="504">
        <f t="shared" si="23"/>
        <v>0</v>
      </c>
      <c r="T166" s="504">
        <f t="shared" si="24"/>
        <v>0</v>
      </c>
      <c r="U166" s="504">
        <f t="shared" si="24"/>
        <v>0</v>
      </c>
      <c r="V166" s="504">
        <f t="shared" si="24"/>
        <v>0</v>
      </c>
      <c r="W166" s="504">
        <f t="shared" si="24"/>
        <v>0</v>
      </c>
      <c r="X166" s="504">
        <f t="shared" si="24"/>
        <v>0</v>
      </c>
    </row>
    <row r="167" spans="1:24" s="503" customFormat="1" ht="6" customHeight="1" outlineLevel="2" thickBot="1" x14ac:dyDescent="0.4">
      <c r="A167" s="481"/>
      <c r="B167" s="481"/>
      <c r="C167" s="504"/>
      <c r="D167" s="504"/>
      <c r="E167" s="508"/>
      <c r="F167" s="508"/>
      <c r="G167" s="508"/>
      <c r="H167" s="508"/>
      <c r="I167" s="508"/>
      <c r="J167" s="508"/>
      <c r="K167" s="508"/>
      <c r="L167" s="504"/>
      <c r="M167" s="504"/>
      <c r="N167" s="504"/>
      <c r="O167" s="508"/>
      <c r="P167" s="504"/>
    </row>
    <row r="168" spans="1:24" s="503" customFormat="1" ht="30.75" customHeight="1" outlineLevel="2" thickBot="1" x14ac:dyDescent="0.4">
      <c r="A168" s="481"/>
      <c r="B168" s="481"/>
      <c r="C168" s="509"/>
      <c r="D168" s="509" t="s">
        <v>712</v>
      </c>
      <c r="E168" s="510" t="s">
        <v>713</v>
      </c>
      <c r="F168" s="511" t="s">
        <v>713</v>
      </c>
      <c r="G168" s="511" t="s">
        <v>713</v>
      </c>
      <c r="H168" s="511" t="s">
        <v>713</v>
      </c>
      <c r="I168" s="511" t="s">
        <v>713</v>
      </c>
      <c r="J168" s="511" t="s">
        <v>713</v>
      </c>
      <c r="K168" s="511" t="s">
        <v>713</v>
      </c>
      <c r="L168" s="511"/>
      <c r="M168" s="511"/>
      <c r="N168" s="511" t="s">
        <v>713</v>
      </c>
      <c r="O168" s="511" t="s">
        <v>713</v>
      </c>
      <c r="P168" s="504"/>
    </row>
    <row r="169" spans="1:24" s="503" customFormat="1" ht="30.75" customHeight="1" outlineLevel="2" thickBot="1" x14ac:dyDescent="0.4">
      <c r="A169" s="481"/>
      <c r="B169" s="481"/>
      <c r="C169" s="509"/>
      <c r="D169" s="509" t="s">
        <v>714</v>
      </c>
      <c r="E169" s="510" t="s">
        <v>30</v>
      </c>
      <c r="F169" s="512"/>
      <c r="G169" s="511"/>
      <c r="H169" s="511"/>
      <c r="I169" s="511"/>
      <c r="J169" s="511"/>
      <c r="K169" s="511"/>
      <c r="L169" s="510" t="s">
        <v>30</v>
      </c>
      <c r="M169" s="510" t="s">
        <v>30</v>
      </c>
      <c r="N169" s="513"/>
      <c r="O169" s="516"/>
      <c r="P169" s="504"/>
    </row>
    <row r="170" spans="1:24" ht="20.25" customHeight="1" outlineLevel="1" thickBot="1" x14ac:dyDescent="0.4">
      <c r="C170" s="481"/>
      <c r="D170" s="481"/>
      <c r="E170" s="481"/>
      <c r="F170" s="481"/>
      <c r="G170" s="482"/>
      <c r="H170" s="482"/>
      <c r="I170" s="482"/>
      <c r="J170" s="482"/>
      <c r="K170" s="482"/>
      <c r="L170" s="482"/>
      <c r="M170" s="482"/>
      <c r="N170" s="482"/>
      <c r="O170" s="482"/>
      <c r="P170" s="481"/>
    </row>
    <row r="171" spans="1:24" ht="17.25" customHeight="1" thickBot="1" x14ac:dyDescent="0.4">
      <c r="C171" s="483" t="s">
        <v>677</v>
      </c>
      <c r="D171" s="484" t="s">
        <v>678</v>
      </c>
      <c r="E171" s="481"/>
      <c r="F171" s="481"/>
      <c r="G171" s="482"/>
      <c r="H171" s="482"/>
      <c r="I171" s="482"/>
      <c r="J171" s="482"/>
      <c r="K171" s="482"/>
      <c r="L171" s="482"/>
      <c r="M171" s="482"/>
      <c r="N171" s="482"/>
      <c r="O171" s="482"/>
      <c r="P171" s="481"/>
    </row>
    <row r="172" spans="1:24" s="492" customFormat="1" ht="36.75" customHeight="1" thickBot="1" x14ac:dyDescent="0.7">
      <c r="A172" s="481"/>
      <c r="B172" s="486" t="s">
        <v>679</v>
      </c>
      <c r="C172" s="487" t="s">
        <v>124</v>
      </c>
      <c r="D172" s="514" t="str">
        <f>VLOOKUP(C172,overview_of_services!$B$2:$I$88,3,FALSE)</f>
        <v>Report information regarding HEATING system performance</v>
      </c>
      <c r="E172" s="489"/>
      <c r="F172" s="490" t="s">
        <v>680</v>
      </c>
      <c r="G172" s="578" t="str">
        <f>VLOOKUP(C172,overview_of_services!$B$2:$I$88,2,FALSE)</f>
        <v>Information to occupants and facility managers</v>
      </c>
      <c r="H172" s="578"/>
      <c r="I172" s="490"/>
      <c r="J172" s="491"/>
      <c r="K172" s="491"/>
      <c r="L172" s="491"/>
      <c r="M172" s="491"/>
      <c r="N172" s="491"/>
      <c r="O172" s="491"/>
      <c r="R172" s="492" t="s">
        <v>681</v>
      </c>
      <c r="S172" s="492">
        <f>ROW()</f>
        <v>172</v>
      </c>
    </row>
    <row r="173" spans="1:24" ht="5.25" customHeight="1" x14ac:dyDescent="0.35">
      <c r="C173" s="493"/>
      <c r="D173" s="493"/>
      <c r="E173" s="493"/>
      <c r="F173" s="493"/>
      <c r="G173" s="493"/>
      <c r="H173" s="493"/>
      <c r="I173" s="493"/>
      <c r="J173" s="493"/>
      <c r="K173" s="493"/>
      <c r="L173" s="493"/>
      <c r="M173" s="493"/>
      <c r="N173" s="493"/>
      <c r="O173" s="494"/>
      <c r="P173" s="481"/>
    </row>
    <row r="174" spans="1:24" ht="20.25" customHeight="1" outlineLevel="1" x14ac:dyDescent="0.35">
      <c r="C174" s="575" t="s">
        <v>682</v>
      </c>
      <c r="D174" s="575"/>
      <c r="E174" s="577" t="s">
        <v>683</v>
      </c>
      <c r="F174" s="577"/>
      <c r="G174" s="577"/>
      <c r="H174" s="577"/>
      <c r="I174" s="577"/>
      <c r="J174" s="577"/>
      <c r="K174" s="577"/>
      <c r="L174" s="573" t="s">
        <v>684</v>
      </c>
      <c r="M174" s="574"/>
      <c r="N174" s="569" t="s">
        <v>685</v>
      </c>
      <c r="O174" s="571" t="s">
        <v>686</v>
      </c>
      <c r="P174" s="481"/>
    </row>
    <row r="175" spans="1:24" ht="36.75" customHeight="1" outlineLevel="1" thickBot="1" x14ac:dyDescent="0.4">
      <c r="C175" s="576"/>
      <c r="D175" s="576"/>
      <c r="E175" s="495" t="s">
        <v>687</v>
      </c>
      <c r="F175" s="495" t="s">
        <v>688</v>
      </c>
      <c r="G175" s="495" t="s">
        <v>689</v>
      </c>
      <c r="H175" s="495" t="s">
        <v>690</v>
      </c>
      <c r="I175" s="495" t="s">
        <v>616</v>
      </c>
      <c r="J175" s="495" t="s">
        <v>691</v>
      </c>
      <c r="K175" s="495" t="s">
        <v>692</v>
      </c>
      <c r="L175" s="496" t="s">
        <v>693</v>
      </c>
      <c r="M175" s="496" t="s">
        <v>694</v>
      </c>
      <c r="N175" s="570"/>
      <c r="O175" s="572"/>
      <c r="P175" s="481"/>
    </row>
    <row r="176" spans="1:24" s="503" customFormat="1" ht="35.25" customHeight="1" outlineLevel="1" thickTop="1" x14ac:dyDescent="0.5">
      <c r="A176" s="481"/>
      <c r="B176" s="481"/>
      <c r="C176" s="497" t="s">
        <v>695</v>
      </c>
      <c r="D176" s="498" t="str">
        <f>VLOOKUP(C172,overview_of_services!$B$2:$I$88,4,FALSE)</f>
        <v>None</v>
      </c>
      <c r="E176" s="499">
        <v>0</v>
      </c>
      <c r="F176" s="499">
        <v>0</v>
      </c>
      <c r="G176" s="499">
        <v>0</v>
      </c>
      <c r="H176" s="499">
        <v>0</v>
      </c>
      <c r="I176" s="499">
        <v>0</v>
      </c>
      <c r="J176" s="499">
        <v>0</v>
      </c>
      <c r="K176" s="499">
        <v>0</v>
      </c>
      <c r="L176" s="500" t="s">
        <v>696</v>
      </c>
      <c r="M176" s="500" t="s">
        <v>696</v>
      </c>
      <c r="N176" s="501">
        <v>0</v>
      </c>
      <c r="O176" s="502" t="s">
        <v>721</v>
      </c>
      <c r="P176" s="504"/>
      <c r="R176" s="504">
        <f t="shared" ref="R176:S180" si="25">IF(E176=0,0,(IF(E176="+",1,(IF(E176="++",2,(IF(E176="+++",3,(IF(E176="++++",4,(IF(E176="-",-1,(IF(E176="--",-2,(IF(E176="---",-3,(IF(E176="----",-4,"NA")))))))))))))))))</f>
        <v>0</v>
      </c>
      <c r="S176" s="504">
        <f t="shared" si="25"/>
        <v>0</v>
      </c>
      <c r="T176" s="504">
        <f t="shared" ref="T176:X180" si="26">IF(G176=0,0,(IF(G176="+",1,(IF(G176="++",2,(IF(G176="+++",3,(IF(G176="++++",4,(IF(G176="-",-1,(IF(G176="--",-2,(IF(G176="---",-3,(IF(G176="----",-4,"NA")))))))))))))))))</f>
        <v>0</v>
      </c>
      <c r="U176" s="504">
        <f t="shared" si="26"/>
        <v>0</v>
      </c>
      <c r="V176" s="504">
        <f t="shared" si="26"/>
        <v>0</v>
      </c>
      <c r="W176" s="504">
        <f t="shared" si="26"/>
        <v>0</v>
      </c>
      <c r="X176" s="504">
        <f t="shared" si="26"/>
        <v>0</v>
      </c>
    </row>
    <row r="177" spans="1:27" s="503" customFormat="1" ht="35.25" customHeight="1" outlineLevel="1" x14ac:dyDescent="0.5">
      <c r="A177" s="481"/>
      <c r="B177" s="481"/>
      <c r="C177" s="505" t="s">
        <v>699</v>
      </c>
      <c r="D177" s="506" t="str">
        <f>VLOOKUP(C172,overview_of_services!$B$2:$I$88,5,FALSE)</f>
        <v>Indication of actual values (e.g. temperatures, submetering energy usage)</v>
      </c>
      <c r="E177" s="507" t="s">
        <v>700</v>
      </c>
      <c r="F177" s="499">
        <v>0</v>
      </c>
      <c r="G177" s="499">
        <v>0</v>
      </c>
      <c r="H177" s="499">
        <v>0</v>
      </c>
      <c r="I177" s="499">
        <v>0</v>
      </c>
      <c r="J177" s="507" t="s">
        <v>700</v>
      </c>
      <c r="K177" s="507" t="s">
        <v>700</v>
      </c>
      <c r="L177" s="500" t="s">
        <v>718</v>
      </c>
      <c r="M177" s="500" t="s">
        <v>718</v>
      </c>
      <c r="N177" s="501">
        <v>2</v>
      </c>
      <c r="O177" s="502" t="s">
        <v>721</v>
      </c>
      <c r="P177" s="504"/>
      <c r="R177" s="504">
        <f t="shared" si="25"/>
        <v>1</v>
      </c>
      <c r="S177" s="504">
        <f t="shared" si="25"/>
        <v>0</v>
      </c>
      <c r="T177" s="504">
        <f t="shared" si="26"/>
        <v>0</v>
      </c>
      <c r="U177" s="504">
        <f t="shared" si="26"/>
        <v>0</v>
      </c>
      <c r="V177" s="504">
        <f t="shared" si="26"/>
        <v>0</v>
      </c>
      <c r="W177" s="504">
        <f t="shared" si="26"/>
        <v>1</v>
      </c>
      <c r="X177" s="504">
        <f t="shared" si="26"/>
        <v>1</v>
      </c>
    </row>
    <row r="178" spans="1:27" s="503" customFormat="1" ht="35.25" customHeight="1" outlineLevel="1" x14ac:dyDescent="0.5">
      <c r="A178" s="481"/>
      <c r="B178" s="481"/>
      <c r="C178" s="505" t="s">
        <v>703</v>
      </c>
      <c r="D178" s="506" t="str">
        <f>VLOOKUP(C172,overview_of_services!$B$2:$I$88,6,FALSE)</f>
        <v>Actual values and historical data</v>
      </c>
      <c r="E178" s="499" t="s">
        <v>700</v>
      </c>
      <c r="F178" s="499">
        <v>0</v>
      </c>
      <c r="G178" s="499">
        <v>0</v>
      </c>
      <c r="H178" s="499">
        <v>0</v>
      </c>
      <c r="I178" s="499">
        <v>0</v>
      </c>
      <c r="J178" s="507" t="s">
        <v>700</v>
      </c>
      <c r="K178" s="507" t="s">
        <v>704</v>
      </c>
      <c r="L178" s="500" t="s">
        <v>708</v>
      </c>
      <c r="M178" s="500" t="s">
        <v>708</v>
      </c>
      <c r="N178" s="501">
        <v>3</v>
      </c>
      <c r="O178" s="502" t="s">
        <v>721</v>
      </c>
      <c r="P178" s="504"/>
      <c r="R178" s="504">
        <f t="shared" si="25"/>
        <v>1</v>
      </c>
      <c r="S178" s="504">
        <f t="shared" si="25"/>
        <v>0</v>
      </c>
      <c r="T178" s="504">
        <f t="shared" si="26"/>
        <v>0</v>
      </c>
      <c r="U178" s="504">
        <f t="shared" si="26"/>
        <v>0</v>
      </c>
      <c r="V178" s="504">
        <f t="shared" si="26"/>
        <v>0</v>
      </c>
      <c r="W178" s="504">
        <f t="shared" si="26"/>
        <v>1</v>
      </c>
      <c r="X178" s="504">
        <f t="shared" si="26"/>
        <v>2</v>
      </c>
    </row>
    <row r="179" spans="1:27" s="503" customFormat="1" ht="35.25" customHeight="1" outlineLevel="1" x14ac:dyDescent="0.5">
      <c r="A179" s="481"/>
      <c r="B179" s="481"/>
      <c r="C179" s="505" t="s">
        <v>706</v>
      </c>
      <c r="D179" s="506" t="str">
        <f>VLOOKUP(C172,overview_of_services!$B$2:$I$88,7,FALSE)</f>
        <v>Performance evaluation including forecasting and/or benchmarking</v>
      </c>
      <c r="E179" s="507" t="s">
        <v>700</v>
      </c>
      <c r="F179" s="499">
        <v>0</v>
      </c>
      <c r="G179" s="499">
        <v>0</v>
      </c>
      <c r="H179" s="499">
        <v>0</v>
      </c>
      <c r="I179" s="499">
        <v>0</v>
      </c>
      <c r="J179" s="507" t="s">
        <v>700</v>
      </c>
      <c r="K179" s="507" t="s">
        <v>707</v>
      </c>
      <c r="L179" s="500" t="s">
        <v>708</v>
      </c>
      <c r="M179" s="500" t="s">
        <v>708</v>
      </c>
      <c r="N179" s="501">
        <v>5</v>
      </c>
      <c r="O179" s="502" t="s">
        <v>721</v>
      </c>
      <c r="P179" s="504"/>
      <c r="R179" s="504">
        <f t="shared" si="25"/>
        <v>1</v>
      </c>
      <c r="S179" s="504">
        <f t="shared" si="25"/>
        <v>0</v>
      </c>
      <c r="T179" s="504">
        <f t="shared" si="26"/>
        <v>0</v>
      </c>
      <c r="U179" s="504">
        <f t="shared" si="26"/>
        <v>0</v>
      </c>
      <c r="V179" s="504">
        <f t="shared" si="26"/>
        <v>0</v>
      </c>
      <c r="W179" s="504">
        <f t="shared" si="26"/>
        <v>1</v>
      </c>
      <c r="X179" s="504">
        <f t="shared" si="26"/>
        <v>3</v>
      </c>
    </row>
    <row r="180" spans="1:27" s="503" customFormat="1" ht="57" customHeight="1" outlineLevel="1" x14ac:dyDescent="0.5">
      <c r="A180" s="481"/>
      <c r="B180" s="481"/>
      <c r="C180" s="505" t="s">
        <v>710</v>
      </c>
      <c r="D180" s="506" t="str">
        <f>VLOOKUP(C172,overview_of_services!$B$2:$I$88,8,FALSE)</f>
        <v>Performance evaluation including forecasting and/or benchmarking; also including predictive management and fault detection</v>
      </c>
      <c r="E180" s="507" t="s">
        <v>700</v>
      </c>
      <c r="F180" s="499">
        <v>0</v>
      </c>
      <c r="G180" s="499">
        <v>0</v>
      </c>
      <c r="H180" s="499" t="s">
        <v>700</v>
      </c>
      <c r="I180" s="499">
        <v>0</v>
      </c>
      <c r="J180" s="507" t="s">
        <v>704</v>
      </c>
      <c r="K180" s="507" t="s">
        <v>707</v>
      </c>
      <c r="L180" s="500" t="s">
        <v>708</v>
      </c>
      <c r="M180" s="500" t="s">
        <v>708</v>
      </c>
      <c r="N180" s="501">
        <v>7</v>
      </c>
      <c r="O180" s="502" t="s">
        <v>721</v>
      </c>
      <c r="P180" s="504"/>
      <c r="R180" s="504">
        <f t="shared" si="25"/>
        <v>1</v>
      </c>
      <c r="S180" s="504">
        <f t="shared" si="25"/>
        <v>0</v>
      </c>
      <c r="T180" s="504">
        <f t="shared" si="26"/>
        <v>0</v>
      </c>
      <c r="U180" s="504">
        <f t="shared" si="26"/>
        <v>1</v>
      </c>
      <c r="V180" s="504">
        <f t="shared" si="26"/>
        <v>0</v>
      </c>
      <c r="W180" s="504">
        <f t="shared" si="26"/>
        <v>2</v>
      </c>
      <c r="X180" s="504">
        <f t="shared" si="26"/>
        <v>3</v>
      </c>
    </row>
    <row r="181" spans="1:27" s="503" customFormat="1" ht="6" customHeight="1" outlineLevel="2" thickBot="1" x14ac:dyDescent="0.4">
      <c r="A181" s="481"/>
      <c r="B181" s="481"/>
      <c r="C181" s="504"/>
      <c r="D181" s="504"/>
      <c r="E181" s="508"/>
      <c r="F181" s="508"/>
      <c r="G181" s="508"/>
      <c r="H181" s="508"/>
      <c r="I181" s="508"/>
      <c r="J181" s="508"/>
      <c r="K181" s="508"/>
      <c r="L181" s="504"/>
      <c r="M181" s="504"/>
      <c r="N181" s="504"/>
      <c r="O181" s="508"/>
      <c r="P181" s="504"/>
    </row>
    <row r="182" spans="1:27" s="503" customFormat="1" ht="30.75" customHeight="1" outlineLevel="2" thickBot="1" x14ac:dyDescent="0.4">
      <c r="A182" s="481"/>
      <c r="B182" s="481"/>
      <c r="C182" s="509"/>
      <c r="D182" s="509" t="s">
        <v>712</v>
      </c>
      <c r="E182" s="510" t="s">
        <v>713</v>
      </c>
      <c r="F182" s="511" t="s">
        <v>713</v>
      </c>
      <c r="G182" s="511" t="s">
        <v>713</v>
      </c>
      <c r="H182" s="511" t="s">
        <v>713</v>
      </c>
      <c r="I182" s="511" t="s">
        <v>713</v>
      </c>
      <c r="J182" s="511" t="s">
        <v>713</v>
      </c>
      <c r="K182" s="511" t="s">
        <v>713</v>
      </c>
      <c r="L182" s="511"/>
      <c r="M182" s="511"/>
      <c r="N182" s="511" t="s">
        <v>713</v>
      </c>
      <c r="O182" s="511" t="s">
        <v>713</v>
      </c>
      <c r="P182" s="504"/>
    </row>
    <row r="183" spans="1:27" s="503" customFormat="1" ht="30.75" customHeight="1" outlineLevel="2" thickBot="1" x14ac:dyDescent="0.4">
      <c r="A183" s="481"/>
      <c r="B183" s="481"/>
      <c r="C183" s="509"/>
      <c r="D183" s="509" t="s">
        <v>714</v>
      </c>
      <c r="E183" s="510"/>
      <c r="F183" s="512"/>
      <c r="G183" s="511"/>
      <c r="H183" s="511"/>
      <c r="I183" s="511"/>
      <c r="J183" s="511"/>
      <c r="K183" s="511"/>
      <c r="L183" s="510"/>
      <c r="M183" s="510"/>
      <c r="N183" s="513"/>
      <c r="O183" s="516"/>
      <c r="P183" s="504"/>
      <c r="AA183" s="520"/>
    </row>
    <row r="184" spans="1:27" ht="20.25" customHeight="1" outlineLevel="1" thickBot="1" x14ac:dyDescent="0.4">
      <c r="C184" s="481"/>
      <c r="D184" s="481"/>
      <c r="E184" s="481"/>
      <c r="F184" s="481"/>
      <c r="G184" s="482"/>
      <c r="H184" s="482"/>
      <c r="I184" s="482"/>
      <c r="J184" s="482"/>
      <c r="K184" s="482"/>
      <c r="L184" s="482"/>
      <c r="M184" s="482"/>
      <c r="N184" s="482"/>
      <c r="O184" s="482"/>
      <c r="P184" s="481"/>
      <c r="AA184" s="521"/>
    </row>
    <row r="185" spans="1:27" ht="15" thickBot="1" x14ac:dyDescent="0.4">
      <c r="C185" s="483" t="s">
        <v>677</v>
      </c>
      <c r="D185" s="484" t="s">
        <v>678</v>
      </c>
      <c r="E185" s="481"/>
      <c r="F185" s="481"/>
      <c r="G185" s="482"/>
      <c r="H185" s="482"/>
      <c r="I185" s="482"/>
      <c r="J185" s="482"/>
      <c r="K185" s="482"/>
      <c r="L185" s="482"/>
      <c r="M185" s="482"/>
      <c r="N185" s="482"/>
      <c r="O185" s="482"/>
      <c r="AA185" s="521"/>
    </row>
    <row r="186" spans="1:27" ht="16" thickBot="1" x14ac:dyDescent="0.4">
      <c r="C186" s="487" t="s">
        <v>131</v>
      </c>
      <c r="D186" s="514" t="str">
        <f>VLOOKUP(C186,overview_of_services!$B$2:$I$88,3,FALSE)</f>
        <v>DSM control of equipment</v>
      </c>
      <c r="E186" s="489"/>
      <c r="F186" s="490" t="s">
        <v>680</v>
      </c>
      <c r="G186" s="578" t="str">
        <f>VLOOKUP(C186,overview_of_services!$B$2:$I$88,2,FALSE)</f>
        <v>DSM control of equipment</v>
      </c>
      <c r="H186" s="578"/>
      <c r="I186" s="490"/>
      <c r="J186" s="491"/>
      <c r="K186" s="491"/>
      <c r="L186" s="491"/>
      <c r="M186" s="491"/>
      <c r="N186" s="491"/>
      <c r="O186" s="491"/>
      <c r="P186" s="492"/>
      <c r="Q186" s="492"/>
      <c r="R186" s="492" t="s">
        <v>681</v>
      </c>
      <c r="S186" s="492">
        <f>ROW()</f>
        <v>186</v>
      </c>
      <c r="T186" s="492"/>
      <c r="U186" s="492"/>
      <c r="V186" s="492"/>
      <c r="W186" s="492"/>
      <c r="X186" s="492"/>
      <c r="Y186" s="492"/>
      <c r="AA186" s="521"/>
    </row>
    <row r="187" spans="1:27" x14ac:dyDescent="0.35">
      <c r="C187" s="493"/>
      <c r="D187" s="493"/>
      <c r="E187" s="493"/>
      <c r="F187" s="493"/>
      <c r="G187" s="493"/>
      <c r="H187" s="493"/>
      <c r="I187" s="493"/>
      <c r="J187" s="493"/>
      <c r="K187" s="493"/>
      <c r="L187" s="493"/>
      <c r="M187" s="493"/>
      <c r="N187" s="493"/>
      <c r="O187" s="494"/>
      <c r="P187" s="481"/>
      <c r="AA187" s="521"/>
    </row>
    <row r="188" spans="1:27" ht="14.5" customHeight="1" x14ac:dyDescent="0.35">
      <c r="C188" s="575" t="s">
        <v>682</v>
      </c>
      <c r="D188" s="575"/>
      <c r="E188" s="577" t="s">
        <v>683</v>
      </c>
      <c r="F188" s="577"/>
      <c r="G188" s="577"/>
      <c r="H188" s="577"/>
      <c r="I188" s="577"/>
      <c r="J188" s="577"/>
      <c r="K188" s="577"/>
      <c r="L188" s="573" t="s">
        <v>684</v>
      </c>
      <c r="M188" s="574"/>
      <c r="N188" s="569" t="s">
        <v>685</v>
      </c>
      <c r="O188" s="571" t="s">
        <v>686</v>
      </c>
      <c r="P188" s="481"/>
      <c r="AA188" s="521"/>
    </row>
    <row r="189" spans="1:27" ht="29.5" thickBot="1" x14ac:dyDescent="0.4">
      <c r="C189" s="576"/>
      <c r="D189" s="576"/>
      <c r="E189" s="495" t="s">
        <v>687</v>
      </c>
      <c r="F189" s="495" t="s">
        <v>688</v>
      </c>
      <c r="G189" s="495" t="s">
        <v>689</v>
      </c>
      <c r="H189" s="495" t="s">
        <v>690</v>
      </c>
      <c r="I189" s="495" t="s">
        <v>616</v>
      </c>
      <c r="J189" s="495" t="s">
        <v>691</v>
      </c>
      <c r="K189" s="495" t="s">
        <v>692</v>
      </c>
      <c r="L189" s="496" t="s">
        <v>693</v>
      </c>
      <c r="M189" s="496" t="s">
        <v>694</v>
      </c>
      <c r="N189" s="570"/>
      <c r="O189" s="572"/>
      <c r="P189" s="481"/>
      <c r="AA189" s="521"/>
    </row>
    <row r="190" spans="1:27" ht="21.5" thickTop="1" x14ac:dyDescent="0.5">
      <c r="C190" s="497" t="s">
        <v>695</v>
      </c>
      <c r="D190" s="498" t="str">
        <f>VLOOKUP(C186,overview_of_services!$B$2:$I$88,4,FALSE)</f>
        <v>Not present</v>
      </c>
      <c r="E190" s="499">
        <v>0</v>
      </c>
      <c r="F190" s="499">
        <v>0</v>
      </c>
      <c r="G190" s="499">
        <v>0</v>
      </c>
      <c r="H190" s="499">
        <v>0</v>
      </c>
      <c r="I190" s="499">
        <v>0</v>
      </c>
      <c r="J190" s="499">
        <v>0</v>
      </c>
      <c r="K190" s="499">
        <v>0</v>
      </c>
      <c r="L190" s="500" t="s">
        <v>696</v>
      </c>
      <c r="M190" s="500" t="s">
        <v>696</v>
      </c>
      <c r="N190" s="501">
        <v>0</v>
      </c>
      <c r="O190" s="502" t="s">
        <v>721</v>
      </c>
      <c r="P190" s="504"/>
      <c r="Q190" s="503"/>
      <c r="R190" s="504">
        <f t="shared" ref="R190:R194" si="27">IF(E190=0,0,(IF(E190="+",1,(IF(E190="++",2,(IF(E190="+++",3,(IF(E190="++++",4,(IF(E190="-",-1,(IF(E190="--",-2,(IF(E190="---",-3,(IF(E190="----",-4,"NA")))))))))))))))))</f>
        <v>0</v>
      </c>
      <c r="S190" s="504">
        <f t="shared" ref="S190:S194" si="28">IF(F190=0,0,(IF(F190="+",1,(IF(F190="++",2,(IF(F190="+++",3,(IF(F190="++++",4,(IF(F190="-",-1,(IF(F190="--",-2,(IF(F190="---",-3,(IF(F190="----",-4,"NA")))))))))))))))))</f>
        <v>0</v>
      </c>
      <c r="T190" s="504">
        <f t="shared" ref="T190:X194" si="29">IF(G190=0,0,(IF(G190="+",1,(IF(G190="++",2,(IF(G190="+++",3,(IF(G190="++++",4,(IF(G190="-",-1,(IF(G190="--",-2,(IF(G190="---",-3,(IF(G190="----",-4,"NA")))))))))))))))))</f>
        <v>0</v>
      </c>
      <c r="U190" s="504">
        <f t="shared" si="29"/>
        <v>0</v>
      </c>
      <c r="V190" s="504">
        <f t="shared" si="29"/>
        <v>0</v>
      </c>
      <c r="W190" s="504">
        <f t="shared" si="29"/>
        <v>0</v>
      </c>
      <c r="X190" s="504">
        <f t="shared" si="29"/>
        <v>0</v>
      </c>
      <c r="Y190" s="503"/>
      <c r="AA190" s="521"/>
    </row>
    <row r="191" spans="1:27" ht="21" x14ac:dyDescent="0.5">
      <c r="C191" s="505" t="s">
        <v>699</v>
      </c>
      <c r="D191" s="506" t="str">
        <f>VLOOKUP(C186,overview_of_services!$B$2:$I$88,5,FALSE)</f>
        <v>Heating system subject to Demand Side Management</v>
      </c>
      <c r="E191" s="499">
        <v>0</v>
      </c>
      <c r="F191" s="507" t="s">
        <v>704</v>
      </c>
      <c r="G191" s="499">
        <v>0</v>
      </c>
      <c r="H191" s="499">
        <v>0</v>
      </c>
      <c r="I191" s="499">
        <v>0</v>
      </c>
      <c r="J191" s="499">
        <v>0</v>
      </c>
      <c r="K191" s="499">
        <v>0</v>
      </c>
      <c r="L191" s="500" t="s">
        <v>708</v>
      </c>
      <c r="M191" s="500" t="s">
        <v>708</v>
      </c>
      <c r="N191" s="501">
        <v>2</v>
      </c>
      <c r="O191" s="502" t="s">
        <v>721</v>
      </c>
      <c r="P191" s="504"/>
      <c r="Q191" s="503"/>
      <c r="R191" s="504">
        <f t="shared" si="27"/>
        <v>0</v>
      </c>
      <c r="S191" s="504">
        <f t="shared" si="28"/>
        <v>2</v>
      </c>
      <c r="T191" s="504">
        <f t="shared" si="29"/>
        <v>0</v>
      </c>
      <c r="U191" s="504">
        <f t="shared" si="29"/>
        <v>0</v>
      </c>
      <c r="V191" s="504">
        <f t="shared" si="29"/>
        <v>0</v>
      </c>
      <c r="W191" s="504">
        <f t="shared" si="29"/>
        <v>0</v>
      </c>
      <c r="X191" s="504">
        <f t="shared" si="29"/>
        <v>0</v>
      </c>
      <c r="Y191" s="503"/>
      <c r="AA191" s="521"/>
    </row>
    <row r="192" spans="1:27" ht="21" x14ac:dyDescent="0.5">
      <c r="C192" s="505" t="s">
        <v>703</v>
      </c>
      <c r="D192" s="522">
        <f>VLOOKUP(C186,overview_of_services!$B$2:$I$88,6,FALSE)</f>
        <v>0</v>
      </c>
      <c r="E192" s="507"/>
      <c r="F192" s="499"/>
      <c r="G192" s="499"/>
      <c r="H192" s="499"/>
      <c r="I192" s="499"/>
      <c r="J192" s="499"/>
      <c r="K192" s="499"/>
      <c r="L192" s="500"/>
      <c r="M192" s="500"/>
      <c r="N192" s="501"/>
      <c r="O192" s="502" t="s">
        <v>721</v>
      </c>
      <c r="P192" s="504"/>
      <c r="Q192" s="503"/>
      <c r="R192" s="504">
        <f t="shared" si="27"/>
        <v>0</v>
      </c>
      <c r="S192" s="504">
        <f t="shared" si="28"/>
        <v>0</v>
      </c>
      <c r="T192" s="504">
        <f t="shared" si="29"/>
        <v>0</v>
      </c>
      <c r="U192" s="504">
        <f t="shared" si="29"/>
        <v>0</v>
      </c>
      <c r="V192" s="504">
        <f t="shared" si="29"/>
        <v>0</v>
      </c>
      <c r="W192" s="504">
        <f t="shared" si="29"/>
        <v>0</v>
      </c>
      <c r="X192" s="504">
        <f t="shared" si="29"/>
        <v>0</v>
      </c>
      <c r="Y192" s="503"/>
      <c r="AA192" s="521"/>
    </row>
    <row r="193" spans="3:27" ht="21" x14ac:dyDescent="0.5">
      <c r="C193" s="505" t="s">
        <v>706</v>
      </c>
      <c r="D193" s="522">
        <f>VLOOKUP(C186,overview_of_services!$B$2:$I$88,7,FALSE)</f>
        <v>0</v>
      </c>
      <c r="E193" s="507"/>
      <c r="F193" s="507"/>
      <c r="G193" s="499"/>
      <c r="H193" s="499"/>
      <c r="I193" s="499"/>
      <c r="J193" s="499"/>
      <c r="K193" s="499"/>
      <c r="L193" s="500"/>
      <c r="M193" s="500"/>
      <c r="N193" s="501"/>
      <c r="O193" s="502" t="s">
        <v>721</v>
      </c>
      <c r="P193" s="504"/>
      <c r="Q193" s="503"/>
      <c r="R193" s="504">
        <f t="shared" si="27"/>
        <v>0</v>
      </c>
      <c r="S193" s="504">
        <f t="shared" si="28"/>
        <v>0</v>
      </c>
      <c r="T193" s="504">
        <f t="shared" si="29"/>
        <v>0</v>
      </c>
      <c r="U193" s="504">
        <f t="shared" si="29"/>
        <v>0</v>
      </c>
      <c r="V193" s="504">
        <f t="shared" si="29"/>
        <v>0</v>
      </c>
      <c r="W193" s="504">
        <f t="shared" si="29"/>
        <v>0</v>
      </c>
      <c r="X193" s="504">
        <f t="shared" si="29"/>
        <v>0</v>
      </c>
      <c r="Y193" s="503"/>
      <c r="AA193" s="521"/>
    </row>
    <row r="194" spans="3:27" ht="21" x14ac:dyDescent="0.5">
      <c r="C194" s="505" t="s">
        <v>710</v>
      </c>
      <c r="D194" s="506">
        <f>VLOOKUP(C186,overview_of_services!$B$2:$I$88,8,FALSE)</f>
        <v>0</v>
      </c>
      <c r="E194" s="507"/>
      <c r="F194" s="499"/>
      <c r="G194" s="507"/>
      <c r="H194" s="507"/>
      <c r="I194" s="499"/>
      <c r="J194" s="499"/>
      <c r="K194" s="499"/>
      <c r="L194" s="500"/>
      <c r="M194" s="500"/>
      <c r="N194" s="501"/>
      <c r="O194" s="502"/>
      <c r="P194" s="504"/>
      <c r="Q194" s="503"/>
      <c r="R194" s="504">
        <f t="shared" si="27"/>
        <v>0</v>
      </c>
      <c r="S194" s="504">
        <f t="shared" si="28"/>
        <v>0</v>
      </c>
      <c r="T194" s="504">
        <f t="shared" si="29"/>
        <v>0</v>
      </c>
      <c r="U194" s="504">
        <f t="shared" si="29"/>
        <v>0</v>
      </c>
      <c r="V194" s="504">
        <f t="shared" si="29"/>
        <v>0</v>
      </c>
      <c r="W194" s="504">
        <f t="shared" si="29"/>
        <v>0</v>
      </c>
      <c r="X194" s="504">
        <f t="shared" si="29"/>
        <v>0</v>
      </c>
      <c r="Y194" s="503"/>
      <c r="AA194" s="521"/>
    </row>
    <row r="195" spans="3:27" ht="15" thickBot="1" x14ac:dyDescent="0.4">
      <c r="C195" s="504"/>
      <c r="D195" s="504"/>
      <c r="E195" s="508"/>
      <c r="F195" s="508"/>
      <c r="G195" s="508"/>
      <c r="H195" s="508"/>
      <c r="I195" s="508"/>
      <c r="J195" s="508"/>
      <c r="K195" s="508"/>
      <c r="L195" s="504"/>
      <c r="M195" s="504"/>
      <c r="N195" s="504"/>
      <c r="O195" s="508"/>
      <c r="P195" s="504"/>
      <c r="Q195" s="503"/>
      <c r="R195" s="503"/>
      <c r="S195" s="503"/>
      <c r="T195" s="503"/>
      <c r="U195" s="503"/>
      <c r="V195" s="503"/>
      <c r="W195" s="503"/>
      <c r="X195" s="503"/>
      <c r="Y195" s="503"/>
      <c r="AA195" s="521"/>
    </row>
    <row r="196" spans="3:27" ht="15" thickBot="1" x14ac:dyDescent="0.4">
      <c r="C196" s="509"/>
      <c r="D196" s="509" t="s">
        <v>712</v>
      </c>
      <c r="E196" s="510" t="s">
        <v>713</v>
      </c>
      <c r="F196" s="511" t="s">
        <v>713</v>
      </c>
      <c r="G196" s="511" t="s">
        <v>713</v>
      </c>
      <c r="H196" s="511" t="s">
        <v>713</v>
      </c>
      <c r="I196" s="511" t="s">
        <v>713</v>
      </c>
      <c r="J196" s="511" t="s">
        <v>713</v>
      </c>
      <c r="K196" s="511" t="s">
        <v>713</v>
      </c>
      <c r="L196" s="511"/>
      <c r="M196" s="511"/>
      <c r="N196" s="511" t="s">
        <v>713</v>
      </c>
      <c r="O196" s="511" t="s">
        <v>713</v>
      </c>
      <c r="P196" s="504"/>
      <c r="Q196" s="503"/>
      <c r="R196" s="503"/>
      <c r="S196" s="503"/>
      <c r="T196" s="503"/>
      <c r="U196" s="503"/>
      <c r="V196" s="503"/>
      <c r="W196" s="503"/>
      <c r="X196" s="503"/>
      <c r="Y196" s="503"/>
      <c r="AA196" s="521"/>
    </row>
    <row r="197" spans="3:27" ht="15" thickBot="1" x14ac:dyDescent="0.4">
      <c r="C197" s="509"/>
      <c r="D197" s="509" t="s">
        <v>714</v>
      </c>
      <c r="E197" s="510"/>
      <c r="F197" s="512"/>
      <c r="G197" s="511"/>
      <c r="H197" s="511"/>
      <c r="I197" s="511"/>
      <c r="J197" s="511"/>
      <c r="K197" s="511"/>
      <c r="L197" s="510"/>
      <c r="M197" s="510"/>
      <c r="N197" s="513"/>
      <c r="O197" s="516"/>
      <c r="P197" s="504"/>
      <c r="Q197" s="503"/>
      <c r="R197" s="503"/>
      <c r="S197" s="503"/>
      <c r="T197" s="503"/>
      <c r="U197" s="503"/>
      <c r="V197" s="503"/>
      <c r="W197" s="503"/>
      <c r="X197" s="503"/>
      <c r="Y197" s="503"/>
      <c r="AA197" s="521"/>
    </row>
    <row r="198" spans="3:27" x14ac:dyDescent="0.35">
      <c r="P198" s="481"/>
      <c r="AA198" s="521"/>
    </row>
    <row r="199" spans="3:27" x14ac:dyDescent="0.35">
      <c r="AA199" s="521"/>
    </row>
    <row r="200" spans="3:27" x14ac:dyDescent="0.35">
      <c r="AA200" s="521"/>
    </row>
    <row r="201" spans="3:27" x14ac:dyDescent="0.35">
      <c r="AA201" s="521"/>
    </row>
    <row r="202" spans="3:27" x14ac:dyDescent="0.35">
      <c r="AA202" s="521"/>
    </row>
    <row r="203" spans="3:27" x14ac:dyDescent="0.35">
      <c r="AA203" s="521"/>
    </row>
    <row r="204" spans="3:27" x14ac:dyDescent="0.35">
      <c r="AA204" s="521"/>
    </row>
    <row r="205" spans="3:27" x14ac:dyDescent="0.35">
      <c r="AA205" s="521"/>
    </row>
    <row r="206" spans="3:27" x14ac:dyDescent="0.35">
      <c r="AA206" s="521"/>
    </row>
    <row r="207" spans="3:27" x14ac:dyDescent="0.35">
      <c r="AA207" s="521"/>
    </row>
    <row r="208" spans="3:27" x14ac:dyDescent="0.35">
      <c r="AA208" s="521"/>
    </row>
    <row r="209" spans="27:27" x14ac:dyDescent="0.35">
      <c r="AA209" s="521"/>
    </row>
  </sheetData>
  <sheetProtection algorithmName="SHA-512" hashValue="E1q2B+D0t57T/28oxcSYBcSVDYpIDZWj9IrHMKMpQ+fkcK9XxMmJ0DtcsCuxsq7zOfF50D7fVpfcRFc4C5inIA==" saltValue="PIw7CL8FCa2+sT9fifpC2Q==" spinCount="100000" sheet="1" objects="1" scenarios="1"/>
  <mergeCells count="84">
    <mergeCell ref="C104:D105"/>
    <mergeCell ref="E104:K104"/>
    <mergeCell ref="C118:D119"/>
    <mergeCell ref="E118:K118"/>
    <mergeCell ref="C132:D133"/>
    <mergeCell ref="E132:K132"/>
    <mergeCell ref="C20:D21"/>
    <mergeCell ref="E20:K20"/>
    <mergeCell ref="L48:M48"/>
    <mergeCell ref="G60:H60"/>
    <mergeCell ref="G74:H74"/>
    <mergeCell ref="C6:D7"/>
    <mergeCell ref="E6:K6"/>
    <mergeCell ref="G4:H4"/>
    <mergeCell ref="G172:H172"/>
    <mergeCell ref="C48:D49"/>
    <mergeCell ref="E48:K48"/>
    <mergeCell ref="G46:H46"/>
    <mergeCell ref="C34:D35"/>
    <mergeCell ref="E34:K34"/>
    <mergeCell ref="G32:H32"/>
    <mergeCell ref="C90:D91"/>
    <mergeCell ref="E90:K90"/>
    <mergeCell ref="C62:D63"/>
    <mergeCell ref="E62:K62"/>
    <mergeCell ref="C76:D77"/>
    <mergeCell ref="E76:K76"/>
    <mergeCell ref="N62:N63"/>
    <mergeCell ref="O62:O63"/>
    <mergeCell ref="L62:M62"/>
    <mergeCell ref="O48:O49"/>
    <mergeCell ref="O76:O77"/>
    <mergeCell ref="N48:N49"/>
    <mergeCell ref="N76:N77"/>
    <mergeCell ref="L76:M76"/>
    <mergeCell ref="N6:N7"/>
    <mergeCell ref="O6:O7"/>
    <mergeCell ref="L6:M6"/>
    <mergeCell ref="O20:O21"/>
    <mergeCell ref="O34:O35"/>
    <mergeCell ref="N20:N21"/>
    <mergeCell ref="L20:M20"/>
    <mergeCell ref="N34:N35"/>
    <mergeCell ref="L34:M34"/>
    <mergeCell ref="L104:M104"/>
    <mergeCell ref="O90:O91"/>
    <mergeCell ref="N90:N91"/>
    <mergeCell ref="O132:O133"/>
    <mergeCell ref="N174:N175"/>
    <mergeCell ref="O174:O175"/>
    <mergeCell ref="O160:O161"/>
    <mergeCell ref="N146:N147"/>
    <mergeCell ref="L90:M90"/>
    <mergeCell ref="O146:O147"/>
    <mergeCell ref="N132:N133"/>
    <mergeCell ref="L132:M132"/>
    <mergeCell ref="O104:O105"/>
    <mergeCell ref="N118:N119"/>
    <mergeCell ref="O118:O119"/>
    <mergeCell ref="N104:N105"/>
    <mergeCell ref="G18:H18"/>
    <mergeCell ref="G186:H186"/>
    <mergeCell ref="G102:H102"/>
    <mergeCell ref="G116:H116"/>
    <mergeCell ref="G130:H130"/>
    <mergeCell ref="G144:H144"/>
    <mergeCell ref="E146:K146"/>
    <mergeCell ref="E160:K160"/>
    <mergeCell ref="G158:H158"/>
    <mergeCell ref="E174:K174"/>
    <mergeCell ref="G88:H88"/>
    <mergeCell ref="N188:N189"/>
    <mergeCell ref="O188:O189"/>
    <mergeCell ref="L118:M118"/>
    <mergeCell ref="L146:M146"/>
    <mergeCell ref="C188:D189"/>
    <mergeCell ref="E188:K188"/>
    <mergeCell ref="L188:M188"/>
    <mergeCell ref="C160:D161"/>
    <mergeCell ref="N160:N161"/>
    <mergeCell ref="L160:M160"/>
    <mergeCell ref="C174:D175"/>
    <mergeCell ref="L174:M174"/>
    <mergeCell ref="C146:D147"/>
  </mergeCells>
  <conditionalFormatting sqref="C93:D94 F93:F94 L93:N94 I93:J94 C79:D80 F79:F80 H79:N80 C107:D108 F107:F108 H121:K122 E80 H108:O108 N37:O37 L37 H107:N107 C92:N92 C81:O82 C95:O96 C109:O110 C120:K120 C124:O124 C134:D138 C78:N78 C106:N106 C10:K10 C11:L12 C50:I50 C39:O40 C64:I64 E36:K36 C176:K180 C121:D123 N120:O123 C148:D152 C162:N166 E123:K123">
    <cfRule type="expression" dxfId="863" priority="219">
      <formula>$D10=0</formula>
    </cfRule>
  </conditionalFormatting>
  <conditionalFormatting sqref="B4">
    <cfRule type="expression" dxfId="862" priority="214">
      <formula>E4="yes"</formula>
    </cfRule>
  </conditionalFormatting>
  <conditionalFormatting sqref="B18">
    <cfRule type="expression" dxfId="861" priority="211">
      <formula>E18="yes"</formula>
    </cfRule>
  </conditionalFormatting>
  <conditionalFormatting sqref="B32">
    <cfRule type="expression" dxfId="860" priority="208">
      <formula>E32="yes"</formula>
    </cfRule>
  </conditionalFormatting>
  <conditionalFormatting sqref="B46">
    <cfRule type="expression" dxfId="859" priority="205">
      <formula>E46="yes"</formula>
    </cfRule>
  </conditionalFormatting>
  <conditionalFormatting sqref="B74">
    <cfRule type="expression" dxfId="858" priority="202">
      <formula>E74="yes"</formula>
    </cfRule>
  </conditionalFormatting>
  <conditionalFormatting sqref="B88">
    <cfRule type="expression" dxfId="857" priority="199">
      <formula>E88="yes"</formula>
    </cfRule>
  </conditionalFormatting>
  <conditionalFormatting sqref="B130">
    <cfRule type="expression" dxfId="856" priority="187">
      <formula>E130="yes"</formula>
    </cfRule>
  </conditionalFormatting>
  <conditionalFormatting sqref="B102">
    <cfRule type="expression" dxfId="855" priority="193">
      <formula>E102="yes"</formula>
    </cfRule>
  </conditionalFormatting>
  <conditionalFormatting sqref="B116">
    <cfRule type="expression" dxfId="854" priority="190">
      <formula>E116="yes"</formula>
    </cfRule>
  </conditionalFormatting>
  <conditionalFormatting sqref="B144">
    <cfRule type="expression" dxfId="853" priority="184">
      <formula>E144="yes"</formula>
    </cfRule>
  </conditionalFormatting>
  <conditionalFormatting sqref="B158">
    <cfRule type="expression" dxfId="852" priority="181">
      <formula>E158="yes"</formula>
    </cfRule>
  </conditionalFormatting>
  <conditionalFormatting sqref="C24:D25">
    <cfRule type="expression" dxfId="851" priority="176">
      <formula>$D24=0</formula>
    </cfRule>
  </conditionalFormatting>
  <conditionalFormatting sqref="C26">
    <cfRule type="expression" dxfId="850" priority="161">
      <formula>$D26=0</formula>
    </cfRule>
  </conditionalFormatting>
  <conditionalFormatting sqref="D12">
    <cfRule type="expression" dxfId="849" priority="157">
      <formula>$D12=0</formula>
    </cfRule>
  </conditionalFormatting>
  <conditionalFormatting sqref="N10:O12">
    <cfRule type="expression" dxfId="848" priority="159">
      <formula>$D10=0</formula>
    </cfRule>
  </conditionalFormatting>
  <conditionalFormatting sqref="C40">
    <cfRule type="expression" dxfId="847" priority="155">
      <formula>$D40=0</formula>
    </cfRule>
  </conditionalFormatting>
  <conditionalFormatting sqref="C51:D54 F51:F54 H51:I54 L50:O50 N51:O54">
    <cfRule type="expression" dxfId="846" priority="153">
      <formula>$D50=0</formula>
    </cfRule>
  </conditionalFormatting>
  <conditionalFormatting sqref="D54">
    <cfRule type="expression" dxfId="845" priority="151">
      <formula>$D54=0</formula>
    </cfRule>
  </conditionalFormatting>
  <conditionalFormatting sqref="D26:Q26">
    <cfRule type="expression" dxfId="844" priority="160">
      <formula>$D26=0</formula>
    </cfRule>
  </conditionalFormatting>
  <conditionalFormatting sqref="C12">
    <cfRule type="expression" dxfId="843" priority="158">
      <formula>$D12=0</formula>
    </cfRule>
  </conditionalFormatting>
  <conditionalFormatting sqref="C36:D38 L36:O36 L38:O38">
    <cfRule type="expression" dxfId="842" priority="156">
      <formula>$D36=0</formula>
    </cfRule>
  </conditionalFormatting>
  <conditionalFormatting sqref="D40">
    <cfRule type="expression" dxfId="841" priority="154">
      <formula>$D40=0</formula>
    </cfRule>
  </conditionalFormatting>
  <conditionalFormatting sqref="C54">
    <cfRule type="expression" dxfId="840" priority="152">
      <formula>$D54=0</formula>
    </cfRule>
  </conditionalFormatting>
  <conditionalFormatting sqref="E25">
    <cfRule type="expression" dxfId="839" priority="126">
      <formula>$D25=0</formula>
    </cfRule>
  </conditionalFormatting>
  <conditionalFormatting sqref="G24:G25">
    <cfRule type="expression" dxfId="838" priority="125">
      <formula>$D24=0</formula>
    </cfRule>
  </conditionalFormatting>
  <conditionalFormatting sqref="H24:H25">
    <cfRule type="expression" dxfId="837" priority="124">
      <formula>$D24=0</formula>
    </cfRule>
  </conditionalFormatting>
  <conditionalFormatting sqref="J25">
    <cfRule type="expression" dxfId="836" priority="123">
      <formula>$D25=0</formula>
    </cfRule>
  </conditionalFormatting>
  <conditionalFormatting sqref="L23">
    <cfRule type="expression" dxfId="835" priority="122">
      <formula>$D23=0</formula>
    </cfRule>
  </conditionalFormatting>
  <conditionalFormatting sqref="L24">
    <cfRule type="expression" dxfId="834" priority="121">
      <formula>$D24=0</formula>
    </cfRule>
  </conditionalFormatting>
  <conditionalFormatting sqref="L25">
    <cfRule type="expression" dxfId="833" priority="120">
      <formula>$D25=0</formula>
    </cfRule>
  </conditionalFormatting>
  <conditionalFormatting sqref="E52">
    <cfRule type="expression" dxfId="832" priority="116">
      <formula>$D52=0</formula>
    </cfRule>
  </conditionalFormatting>
  <conditionalFormatting sqref="E53">
    <cfRule type="expression" dxfId="831" priority="115">
      <formula>$D53=0</formula>
    </cfRule>
  </conditionalFormatting>
  <conditionalFormatting sqref="E54">
    <cfRule type="expression" dxfId="830" priority="114">
      <formula>$D54=0</formula>
    </cfRule>
  </conditionalFormatting>
  <conditionalFormatting sqref="G52">
    <cfRule type="expression" dxfId="829" priority="113">
      <formula>$D52=0</formula>
    </cfRule>
  </conditionalFormatting>
  <conditionalFormatting sqref="G53">
    <cfRule type="expression" dxfId="828" priority="112">
      <formula>$D53=0</formula>
    </cfRule>
  </conditionalFormatting>
  <conditionalFormatting sqref="G54">
    <cfRule type="expression" dxfId="827" priority="111">
      <formula>$D54=0</formula>
    </cfRule>
  </conditionalFormatting>
  <conditionalFormatting sqref="J50:J54">
    <cfRule type="expression" dxfId="826" priority="110">
      <formula>$D50=0</formula>
    </cfRule>
  </conditionalFormatting>
  <conditionalFormatting sqref="K50:K54">
    <cfRule type="expression" dxfId="825" priority="109">
      <formula>$D50=0</formula>
    </cfRule>
  </conditionalFormatting>
  <conditionalFormatting sqref="L51:M51 M51:M52">
    <cfRule type="expression" dxfId="824" priority="108">
      <formula>$D51=0</formula>
    </cfRule>
  </conditionalFormatting>
  <conditionalFormatting sqref="M53">
    <cfRule type="expression" dxfId="823" priority="107">
      <formula>$D53=0</formula>
    </cfRule>
  </conditionalFormatting>
  <conditionalFormatting sqref="B60">
    <cfRule type="expression" dxfId="822" priority="96">
      <formula>E60="yes"</formula>
    </cfRule>
  </conditionalFormatting>
  <conditionalFormatting sqref="C65:D68 F65:F68 H68:I68 L64:O64 N65:O68 I65:I67">
    <cfRule type="expression" dxfId="821" priority="95">
      <formula>$D64=0</formula>
    </cfRule>
  </conditionalFormatting>
  <conditionalFormatting sqref="D68">
    <cfRule type="expression" dxfId="820" priority="93">
      <formula>$D68=0</formula>
    </cfRule>
  </conditionalFormatting>
  <conditionalFormatting sqref="C68">
    <cfRule type="expression" dxfId="819" priority="94">
      <formula>$D68=0</formula>
    </cfRule>
  </conditionalFormatting>
  <conditionalFormatting sqref="E66">
    <cfRule type="expression" dxfId="818" priority="92">
      <formula>$D66=0</formula>
    </cfRule>
  </conditionalFormatting>
  <conditionalFormatting sqref="E67">
    <cfRule type="expression" dxfId="817" priority="91">
      <formula>$D67=0</formula>
    </cfRule>
  </conditionalFormatting>
  <conditionalFormatting sqref="E68">
    <cfRule type="expression" dxfId="816" priority="90">
      <formula>$D68=0</formula>
    </cfRule>
  </conditionalFormatting>
  <conditionalFormatting sqref="G66">
    <cfRule type="expression" dxfId="815" priority="89">
      <formula>$D66=0</formula>
    </cfRule>
  </conditionalFormatting>
  <conditionalFormatting sqref="G67">
    <cfRule type="expression" dxfId="814" priority="88">
      <formula>$D67=0</formula>
    </cfRule>
  </conditionalFormatting>
  <conditionalFormatting sqref="G68">
    <cfRule type="expression" dxfId="813" priority="87">
      <formula>$D68=0</formula>
    </cfRule>
  </conditionalFormatting>
  <conditionalFormatting sqref="J64:J68">
    <cfRule type="expression" dxfId="812" priority="86">
      <formula>$D64=0</formula>
    </cfRule>
  </conditionalFormatting>
  <conditionalFormatting sqref="K64:K68">
    <cfRule type="expression" dxfId="811" priority="85">
      <formula>$D64=0</formula>
    </cfRule>
  </conditionalFormatting>
  <conditionalFormatting sqref="L65:M66">
    <cfRule type="expression" dxfId="810" priority="84">
      <formula>$D65=0</formula>
    </cfRule>
  </conditionalFormatting>
  <conditionalFormatting sqref="L67:M68">
    <cfRule type="expression" dxfId="809" priority="83">
      <formula>$D67=0</formula>
    </cfRule>
  </conditionalFormatting>
  <conditionalFormatting sqref="H66">
    <cfRule type="expression" dxfId="808" priority="82">
      <formula>$D66=0</formula>
    </cfRule>
  </conditionalFormatting>
  <conditionalFormatting sqref="H67">
    <cfRule type="expression" dxfId="807" priority="81">
      <formula>$D67=0</formula>
    </cfRule>
  </conditionalFormatting>
  <conditionalFormatting sqref="F37:F38 H38:I38 H37:K37">
    <cfRule type="expression" dxfId="806" priority="80">
      <formula>$D37=0</formula>
    </cfRule>
  </conditionalFormatting>
  <conditionalFormatting sqref="E38">
    <cfRule type="expression" dxfId="805" priority="79">
      <formula>$D38=0</formula>
    </cfRule>
  </conditionalFormatting>
  <conditionalFormatting sqref="G38">
    <cfRule type="expression" dxfId="804" priority="78">
      <formula>$D38=0</formula>
    </cfRule>
  </conditionalFormatting>
  <conditionalFormatting sqref="M23">
    <cfRule type="expression" dxfId="803" priority="76">
      <formula>$D23=0</formula>
    </cfRule>
  </conditionalFormatting>
  <conditionalFormatting sqref="M24">
    <cfRule type="expression" dxfId="802" priority="75">
      <formula>$D24=0</formula>
    </cfRule>
  </conditionalFormatting>
  <conditionalFormatting sqref="M25">
    <cfRule type="expression" dxfId="801" priority="74">
      <formula>$D25=0</formula>
    </cfRule>
  </conditionalFormatting>
  <conditionalFormatting sqref="L53">
    <cfRule type="expression" dxfId="800" priority="71">
      <formula>$D53=0</formula>
    </cfRule>
  </conditionalFormatting>
  <conditionalFormatting sqref="L52">
    <cfRule type="expression" dxfId="799" priority="72">
      <formula>$D52=0</formula>
    </cfRule>
  </conditionalFormatting>
  <conditionalFormatting sqref="L54">
    <cfRule type="expression" dxfId="798" priority="70">
      <formula>$D54=0</formula>
    </cfRule>
  </conditionalFormatting>
  <conditionalFormatting sqref="M37">
    <cfRule type="expression" dxfId="797" priority="69">
      <formula>$D37=0</formula>
    </cfRule>
  </conditionalFormatting>
  <conditionalFormatting sqref="L120:M123">
    <cfRule type="expression" dxfId="796" priority="68">
      <formula>$D120=0</formula>
    </cfRule>
  </conditionalFormatting>
  <conditionalFormatting sqref="O107">
    <cfRule type="expression" dxfId="795" priority="221">
      <formula>$D106=0</formula>
    </cfRule>
  </conditionalFormatting>
  <conditionalFormatting sqref="O106">
    <cfRule type="expression" dxfId="794" priority="67">
      <formula>$D106=0</formula>
    </cfRule>
  </conditionalFormatting>
  <conditionalFormatting sqref="J38:K38">
    <cfRule type="expression" dxfId="793" priority="64">
      <formula>$D38=0</formula>
    </cfRule>
  </conditionalFormatting>
  <conditionalFormatting sqref="O78:O80">
    <cfRule type="expression" dxfId="792" priority="56">
      <formula>$D78=0</formula>
    </cfRule>
  </conditionalFormatting>
  <conditionalFormatting sqref="F121:F122">
    <cfRule type="expression" dxfId="791" priority="61">
      <formula>$D121=0</formula>
    </cfRule>
  </conditionalFormatting>
  <conditionalFormatting sqref="M54">
    <cfRule type="expression" dxfId="790" priority="58">
      <formula>$D54=0</formula>
    </cfRule>
  </conditionalFormatting>
  <conditionalFormatting sqref="O92:O94">
    <cfRule type="expression" dxfId="789" priority="57">
      <formula>$D92=0</formula>
    </cfRule>
  </conditionalFormatting>
  <conditionalFormatting sqref="O162:O166">
    <cfRule type="expression" dxfId="788" priority="51">
      <formula>$D162=0</formula>
    </cfRule>
  </conditionalFormatting>
  <conditionalFormatting sqref="B172">
    <cfRule type="expression" dxfId="787" priority="45">
      <formula>E172="yes"</formula>
    </cfRule>
  </conditionalFormatting>
  <conditionalFormatting sqref="C190:N194">
    <cfRule type="expression" dxfId="786" priority="16">
      <formula>$D190=0</formula>
    </cfRule>
  </conditionalFormatting>
  <conditionalFormatting sqref="O190:O194">
    <cfRule type="expression" dxfId="785" priority="15">
      <formula>$D190=0</formula>
    </cfRule>
  </conditionalFormatting>
  <conditionalFormatting sqref="L176:N180">
    <cfRule type="expression" dxfId="784" priority="14">
      <formula>$D176=0</formula>
    </cfRule>
  </conditionalFormatting>
  <conditionalFormatting sqref="O176:O180">
    <cfRule type="expression" dxfId="783" priority="13">
      <formula>$D176=0</formula>
    </cfRule>
  </conditionalFormatting>
  <conditionalFormatting sqref="O135">
    <cfRule type="expression" dxfId="782" priority="1">
      <formula>$D135=0</formula>
    </cfRule>
  </conditionalFormatting>
  <conditionalFormatting sqref="E148:F148 E152:F152 G148:O152">
    <cfRule type="expression" dxfId="781" priority="8">
      <formula>$D148=0</formula>
    </cfRule>
  </conditionalFormatting>
  <conditionalFormatting sqref="F149">
    <cfRule type="expression" dxfId="780" priority="7">
      <formula>$D149=0</formula>
    </cfRule>
  </conditionalFormatting>
  <conditionalFormatting sqref="F150">
    <cfRule type="expression" dxfId="779" priority="6">
      <formula>$D150=0</formula>
    </cfRule>
  </conditionalFormatting>
  <conditionalFormatting sqref="F151">
    <cfRule type="expression" dxfId="778" priority="5">
      <formula>$D151=0</formula>
    </cfRule>
  </conditionalFormatting>
  <conditionalFormatting sqref="E138:O138 E134:N137">
    <cfRule type="expression" dxfId="777" priority="4">
      <formula>$D134=0</formula>
    </cfRule>
  </conditionalFormatting>
  <conditionalFormatting sqref="O136:O137">
    <cfRule type="expression" dxfId="776" priority="3">
      <formula>$D136=0</formula>
    </cfRule>
  </conditionalFormatting>
  <conditionalFormatting sqref="O134">
    <cfRule type="expression" dxfId="775" priority="2">
      <formula>$D134=0</formula>
    </cfRule>
  </conditionalFormatting>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99"/>
  <sheetViews>
    <sheetView zoomScale="50" zoomScaleNormal="50" workbookViewId="0">
      <pane ySplit="1" topLeftCell="A2" activePane="bottomLeft" state="frozen"/>
      <selection pane="bottomLeft" activeCell="C6" sqref="C6:D7"/>
    </sheetView>
  </sheetViews>
  <sheetFormatPr defaultColWidth="9.453125" defaultRowHeight="14.5" outlineLevelRow="2" x14ac:dyDescent="0.35"/>
  <cols>
    <col min="1" max="1" width="3.453125" style="481" customWidth="1"/>
    <col min="2" max="2" width="5.453125" style="481" customWidth="1"/>
    <col min="3" max="3" width="14.54296875" style="485" customWidth="1"/>
    <col min="4" max="4" width="60.54296875" style="485" customWidth="1"/>
    <col min="5" max="6" width="20" style="485" customWidth="1"/>
    <col min="7" max="11" width="20" style="523" customWidth="1"/>
    <col min="12" max="13" width="28" style="523" customWidth="1"/>
    <col min="14" max="14" width="20" style="523" customWidth="1"/>
    <col min="15" max="15" width="33.453125" style="523" customWidth="1"/>
    <col min="16" max="16" width="53.54296875" style="485" customWidth="1"/>
    <col min="17" max="17" width="27" style="485" customWidth="1"/>
    <col min="18" max="16384" width="9.453125" style="485"/>
  </cols>
  <sheetData>
    <row r="1" spans="1:24" s="479" customFormat="1" ht="37.5" customHeight="1" thickBot="1" x14ac:dyDescent="0.55000000000000004">
      <c r="A1" s="477"/>
      <c r="B1" s="477"/>
      <c r="C1" s="477" t="s">
        <v>676</v>
      </c>
      <c r="D1" s="478" t="s">
        <v>737</v>
      </c>
      <c r="G1" s="480"/>
      <c r="H1" s="480"/>
      <c r="I1" s="480"/>
      <c r="J1" s="480"/>
      <c r="K1" s="480"/>
      <c r="L1" s="480"/>
      <c r="M1" s="480"/>
      <c r="N1" s="480"/>
      <c r="O1" s="480"/>
      <c r="R1" s="479">
        <f>IF(SUM(R6:R103)&gt;0,1,0)</f>
        <v>1</v>
      </c>
      <c r="S1" s="479">
        <f t="shared" ref="S1:X1" si="0">IF(SUM(S6:S103)&gt;0,1,0)</f>
        <v>1</v>
      </c>
      <c r="T1" s="479">
        <f t="shared" si="0"/>
        <v>0</v>
      </c>
      <c r="U1" s="479">
        <f t="shared" si="0"/>
        <v>1</v>
      </c>
      <c r="V1" s="479">
        <f t="shared" si="0"/>
        <v>0</v>
      </c>
      <c r="W1" s="479">
        <f t="shared" si="0"/>
        <v>1</v>
      </c>
      <c r="X1" s="479">
        <f t="shared" si="0"/>
        <v>1</v>
      </c>
    </row>
    <row r="2" spans="1:24" s="481" customFormat="1" ht="26.25" customHeight="1" thickTop="1" thickBot="1" x14ac:dyDescent="0.4">
      <c r="O2" s="482"/>
    </row>
    <row r="3" spans="1:24" ht="17.25" customHeight="1" thickBot="1" x14ac:dyDescent="0.4">
      <c r="C3" s="483" t="s">
        <v>677</v>
      </c>
      <c r="D3" s="484" t="s">
        <v>678</v>
      </c>
      <c r="E3" s="481"/>
      <c r="F3" s="481"/>
      <c r="G3" s="482"/>
      <c r="H3" s="482"/>
      <c r="I3" s="482"/>
      <c r="J3" s="482"/>
      <c r="K3" s="482"/>
      <c r="L3" s="482"/>
      <c r="M3" s="482"/>
      <c r="N3" s="482"/>
      <c r="O3" s="482"/>
      <c r="P3" s="481"/>
    </row>
    <row r="4" spans="1:24" s="492" customFormat="1" ht="36.75" customHeight="1" thickBot="1" x14ac:dyDescent="0.7">
      <c r="A4" s="481"/>
      <c r="B4" s="486" t="s">
        <v>679</v>
      </c>
      <c r="C4" s="487" t="s">
        <v>138</v>
      </c>
      <c r="D4" s="514" t="str">
        <f>VLOOKUP(C4,overview_of_services!$B$2:$I$88,3,FALSE)</f>
        <v>Control of DHW storage charging (with direct electric heating or integrated electric heat pump)</v>
      </c>
      <c r="E4" s="489"/>
      <c r="F4" s="490" t="s">
        <v>680</v>
      </c>
      <c r="G4" s="578" t="str">
        <f>VLOOKUP(C4,overview_of_services!$B$2:$I$88,2,FALSE)</f>
        <v>Control DHW production facilities</v>
      </c>
      <c r="H4" s="578"/>
      <c r="I4" s="490"/>
      <c r="J4" s="491"/>
      <c r="K4" s="491"/>
      <c r="L4" s="491"/>
      <c r="M4" s="491"/>
      <c r="N4" s="491"/>
      <c r="O4" s="491"/>
      <c r="R4" s="492" t="s">
        <v>681</v>
      </c>
      <c r="S4" s="492">
        <f>ROW()</f>
        <v>4</v>
      </c>
    </row>
    <row r="5" spans="1:24" ht="5.25" customHeight="1" x14ac:dyDescent="0.35">
      <c r="C5" s="493"/>
      <c r="D5" s="493"/>
      <c r="E5" s="493"/>
      <c r="F5" s="493"/>
      <c r="G5" s="493"/>
      <c r="H5" s="493"/>
      <c r="I5" s="493"/>
      <c r="J5" s="493"/>
      <c r="K5" s="493"/>
      <c r="L5" s="493"/>
      <c r="M5" s="493"/>
      <c r="N5" s="493"/>
      <c r="O5" s="494"/>
      <c r="P5" s="481"/>
    </row>
    <row r="6" spans="1:24" ht="20.25" customHeight="1" outlineLevel="1" x14ac:dyDescent="0.35">
      <c r="C6" s="575" t="s">
        <v>682</v>
      </c>
      <c r="D6" s="575"/>
      <c r="E6" s="577" t="s">
        <v>683</v>
      </c>
      <c r="F6" s="577"/>
      <c r="G6" s="577"/>
      <c r="H6" s="577"/>
      <c r="I6" s="577"/>
      <c r="J6" s="577"/>
      <c r="K6" s="577"/>
      <c r="L6" s="573" t="s">
        <v>684</v>
      </c>
      <c r="M6" s="574"/>
      <c r="N6" s="569" t="s">
        <v>685</v>
      </c>
      <c r="O6" s="571" t="s">
        <v>686</v>
      </c>
      <c r="P6" s="481"/>
    </row>
    <row r="7" spans="1:24" ht="36.75" customHeight="1" outlineLevel="1" thickBot="1" x14ac:dyDescent="0.4">
      <c r="C7" s="576"/>
      <c r="D7" s="576"/>
      <c r="E7" s="495" t="s">
        <v>687</v>
      </c>
      <c r="F7" s="495" t="s">
        <v>688</v>
      </c>
      <c r="G7" s="495" t="s">
        <v>689</v>
      </c>
      <c r="H7" s="495" t="s">
        <v>690</v>
      </c>
      <c r="I7" s="495" t="s">
        <v>616</v>
      </c>
      <c r="J7" s="495" t="s">
        <v>691</v>
      </c>
      <c r="K7" s="495" t="s">
        <v>692</v>
      </c>
      <c r="L7" s="496" t="s">
        <v>693</v>
      </c>
      <c r="M7" s="496" t="s">
        <v>694</v>
      </c>
      <c r="N7" s="570"/>
      <c r="O7" s="572"/>
      <c r="P7" s="481"/>
    </row>
    <row r="8" spans="1:24" s="503" customFormat="1" ht="35.25" customHeight="1" outlineLevel="1" thickTop="1" x14ac:dyDescent="0.5">
      <c r="A8" s="481"/>
      <c r="B8" s="481"/>
      <c r="C8" s="497" t="s">
        <v>695</v>
      </c>
      <c r="D8" s="498" t="str">
        <f>VLOOKUP(C4,overview_of_services!$B$2:$I$88,4,FALSE)</f>
        <v>Automatic control on / off</v>
      </c>
      <c r="E8" s="499">
        <v>0</v>
      </c>
      <c r="F8" s="499">
        <v>0</v>
      </c>
      <c r="G8" s="499">
        <v>0</v>
      </c>
      <c r="H8" s="499">
        <v>0</v>
      </c>
      <c r="I8" s="499">
        <v>0</v>
      </c>
      <c r="J8" s="499">
        <v>0</v>
      </c>
      <c r="K8" s="499">
        <v>0</v>
      </c>
      <c r="L8" s="500" t="s">
        <v>696</v>
      </c>
      <c r="M8" s="500" t="s">
        <v>696</v>
      </c>
      <c r="N8" s="501">
        <v>0</v>
      </c>
      <c r="O8" s="502" t="s">
        <v>697</v>
      </c>
      <c r="P8" s="504"/>
      <c r="R8" s="504">
        <f t="shared" ref="R8:S12" si="1">IF(E8=0,0,(IF(E8="+",1,(IF(E8="++",2,(IF(E8="+++",3,(IF(E8="++++",4,(IF(E8="-",-1,(IF(E8="--",-2,(IF(E8="---",-3,(IF(E8="----",-4,"NA")))))))))))))))))</f>
        <v>0</v>
      </c>
      <c r="S8" s="504">
        <f t="shared" si="1"/>
        <v>0</v>
      </c>
      <c r="T8" s="504">
        <f t="shared" ref="T8:X12" si="2">IF(G8=0,0,(IF(G8="+",1,(IF(G8="++",2,(IF(G8="+++",3,(IF(G8="++++",4,(IF(G8="-",-1,(IF(G8="--",-2,(IF(G8="---",-3,(IF(G8="----",-4,"NA")))))))))))))))))</f>
        <v>0</v>
      </c>
      <c r="U8" s="504">
        <f t="shared" si="2"/>
        <v>0</v>
      </c>
      <c r="V8" s="504">
        <f t="shared" si="2"/>
        <v>0</v>
      </c>
      <c r="W8" s="504">
        <f t="shared" si="2"/>
        <v>0</v>
      </c>
      <c r="X8" s="504">
        <f t="shared" si="2"/>
        <v>0</v>
      </c>
    </row>
    <row r="9" spans="1:24" s="503" customFormat="1" ht="35.25" customHeight="1" outlineLevel="1" x14ac:dyDescent="0.5">
      <c r="A9" s="481"/>
      <c r="B9" s="481"/>
      <c r="C9" s="505" t="s">
        <v>699</v>
      </c>
      <c r="D9" s="506" t="str">
        <f>VLOOKUP(C4,overview_of_services!$B$2:$I$88,5,FALSE)</f>
        <v>Automatic control on / off and scheduled charging enable</v>
      </c>
      <c r="E9" s="499" t="s">
        <v>700</v>
      </c>
      <c r="F9" s="499" t="s">
        <v>700</v>
      </c>
      <c r="G9" s="499">
        <v>0</v>
      </c>
      <c r="H9" s="499" t="s">
        <v>700</v>
      </c>
      <c r="I9" s="499">
        <v>0</v>
      </c>
      <c r="J9" s="499">
        <v>0</v>
      </c>
      <c r="K9" s="499">
        <v>0</v>
      </c>
      <c r="L9" s="500" t="s">
        <v>708</v>
      </c>
      <c r="M9" s="500" t="s">
        <v>708</v>
      </c>
      <c r="N9" s="501">
        <v>1</v>
      </c>
      <c r="O9" s="502" t="s">
        <v>738</v>
      </c>
      <c r="P9" s="504"/>
      <c r="R9" s="504">
        <f t="shared" si="1"/>
        <v>1</v>
      </c>
      <c r="S9" s="504">
        <f t="shared" si="1"/>
        <v>1</v>
      </c>
      <c r="T9" s="504">
        <f t="shared" si="2"/>
        <v>0</v>
      </c>
      <c r="U9" s="504">
        <f t="shared" si="2"/>
        <v>1</v>
      </c>
      <c r="V9" s="504">
        <f t="shared" si="2"/>
        <v>0</v>
      </c>
      <c r="W9" s="504">
        <f t="shared" si="2"/>
        <v>0</v>
      </c>
      <c r="X9" s="504">
        <f t="shared" si="2"/>
        <v>0</v>
      </c>
    </row>
    <row r="10" spans="1:24" s="503" customFormat="1" ht="29" outlineLevel="1" x14ac:dyDescent="0.5">
      <c r="A10" s="481"/>
      <c r="B10" s="481"/>
      <c r="C10" s="505" t="s">
        <v>703</v>
      </c>
      <c r="D10" s="506" t="str">
        <f>VLOOKUP(C4,overview_of_services!$B$2:$I$88,6,FALSE)</f>
        <v>Automatic control on / off and scheduled charging enable and multi-sensor storage management</v>
      </c>
      <c r="E10" s="507" t="s">
        <v>704</v>
      </c>
      <c r="F10" s="507" t="s">
        <v>700</v>
      </c>
      <c r="G10" s="499">
        <v>0</v>
      </c>
      <c r="H10" s="507" t="s">
        <v>704</v>
      </c>
      <c r="I10" s="507">
        <v>0</v>
      </c>
      <c r="J10" s="499">
        <v>0</v>
      </c>
      <c r="K10" s="499">
        <v>0</v>
      </c>
      <c r="L10" s="500" t="s">
        <v>708</v>
      </c>
      <c r="M10" s="500" t="s">
        <v>708</v>
      </c>
      <c r="N10" s="501">
        <v>2</v>
      </c>
      <c r="O10" s="502" t="s">
        <v>739</v>
      </c>
      <c r="P10" s="504"/>
      <c r="R10" s="504">
        <f t="shared" si="1"/>
        <v>2</v>
      </c>
      <c r="S10" s="504">
        <f t="shared" si="1"/>
        <v>1</v>
      </c>
      <c r="T10" s="504">
        <f t="shared" si="2"/>
        <v>0</v>
      </c>
      <c r="U10" s="504">
        <f t="shared" si="2"/>
        <v>2</v>
      </c>
      <c r="V10" s="504">
        <f t="shared" si="2"/>
        <v>0</v>
      </c>
      <c r="W10" s="504">
        <f t="shared" si="2"/>
        <v>0</v>
      </c>
      <c r="X10" s="504">
        <f t="shared" si="2"/>
        <v>0</v>
      </c>
    </row>
    <row r="11" spans="1:24" s="503" customFormat="1" ht="29" outlineLevel="1" x14ac:dyDescent="0.5">
      <c r="A11" s="481"/>
      <c r="B11" s="481"/>
      <c r="C11" s="505" t="s">
        <v>706</v>
      </c>
      <c r="D11" s="506" t="str">
        <f>VLOOKUP(C4,overview_of_services!$B$2:$I$88,7,FALSE)</f>
        <v xml:space="preserve">Automatic charging control based on local availability of renewables or information from electricity grid (DR, DSM) </v>
      </c>
      <c r="E11" s="499" t="s">
        <v>704</v>
      </c>
      <c r="F11" s="499" t="s">
        <v>704</v>
      </c>
      <c r="G11" s="499">
        <v>0</v>
      </c>
      <c r="H11" s="499" t="s">
        <v>704</v>
      </c>
      <c r="I11" s="499">
        <v>0</v>
      </c>
      <c r="J11" s="499">
        <v>0</v>
      </c>
      <c r="K11" s="499">
        <v>0</v>
      </c>
      <c r="L11" s="500" t="s">
        <v>708</v>
      </c>
      <c r="M11" s="500" t="s">
        <v>708</v>
      </c>
      <c r="N11" s="501">
        <v>3</v>
      </c>
      <c r="O11" s="502" t="s">
        <v>739</v>
      </c>
      <c r="P11" s="504"/>
      <c r="R11" s="504">
        <f t="shared" si="1"/>
        <v>2</v>
      </c>
      <c r="S11" s="504">
        <f t="shared" si="1"/>
        <v>2</v>
      </c>
      <c r="T11" s="504">
        <f t="shared" si="2"/>
        <v>0</v>
      </c>
      <c r="U11" s="504">
        <f t="shared" si="2"/>
        <v>2</v>
      </c>
      <c r="V11" s="504">
        <f t="shared" si="2"/>
        <v>0</v>
      </c>
      <c r="W11" s="504">
        <f t="shared" si="2"/>
        <v>0</v>
      </c>
      <c r="X11" s="504">
        <f t="shared" si="2"/>
        <v>0</v>
      </c>
    </row>
    <row r="12" spans="1:24" s="503" customFormat="1" ht="35.25" customHeight="1" outlineLevel="1" x14ac:dyDescent="0.5">
      <c r="A12" s="481"/>
      <c r="B12" s="481"/>
      <c r="C12" s="505" t="s">
        <v>710</v>
      </c>
      <c r="D12" s="506">
        <f>VLOOKUP(C4,overview_of_services!$B$2:$I$88,8,FALSE)</f>
        <v>0</v>
      </c>
      <c r="E12" s="507"/>
      <c r="F12" s="499"/>
      <c r="G12" s="507"/>
      <c r="H12" s="507"/>
      <c r="I12" s="499"/>
      <c r="J12" s="499"/>
      <c r="K12" s="499"/>
      <c r="L12" s="500"/>
      <c r="M12" s="500"/>
      <c r="N12" s="501"/>
      <c r="O12" s="502"/>
      <c r="P12" s="504"/>
      <c r="R12" s="504">
        <f t="shared" si="1"/>
        <v>0</v>
      </c>
      <c r="S12" s="504">
        <f t="shared" si="1"/>
        <v>0</v>
      </c>
      <c r="T12" s="504">
        <f t="shared" si="2"/>
        <v>0</v>
      </c>
      <c r="U12" s="504">
        <f t="shared" si="2"/>
        <v>0</v>
      </c>
      <c r="V12" s="504">
        <f t="shared" si="2"/>
        <v>0</v>
      </c>
      <c r="W12" s="504">
        <f t="shared" si="2"/>
        <v>0</v>
      </c>
      <c r="X12" s="504">
        <f t="shared" si="2"/>
        <v>0</v>
      </c>
    </row>
    <row r="13" spans="1:24" s="503" customFormat="1" ht="6" customHeight="1" outlineLevel="2" thickBot="1" x14ac:dyDescent="0.4">
      <c r="A13" s="481"/>
      <c r="B13" s="481"/>
      <c r="C13" s="504"/>
      <c r="D13" s="504"/>
      <c r="E13" s="508"/>
      <c r="F13" s="508"/>
      <c r="G13" s="508"/>
      <c r="H13" s="508"/>
      <c r="I13" s="508"/>
      <c r="J13" s="508"/>
      <c r="K13" s="508"/>
      <c r="L13" s="504"/>
      <c r="M13" s="504"/>
      <c r="N13" s="504"/>
      <c r="O13" s="508"/>
      <c r="P13" s="504"/>
    </row>
    <row r="14" spans="1:24" s="503" customFormat="1" ht="30.75" customHeight="1" outlineLevel="2" thickBot="1" x14ac:dyDescent="0.4">
      <c r="A14" s="481"/>
      <c r="B14" s="481"/>
      <c r="C14" s="509"/>
      <c r="D14" s="509" t="s">
        <v>712</v>
      </c>
      <c r="E14" s="510" t="s">
        <v>729</v>
      </c>
      <c r="F14" s="511" t="s">
        <v>729</v>
      </c>
      <c r="G14" s="511" t="s">
        <v>729</v>
      </c>
      <c r="H14" s="511" t="s">
        <v>729</v>
      </c>
      <c r="I14" s="511" t="s">
        <v>729</v>
      </c>
      <c r="J14" s="511" t="s">
        <v>729</v>
      </c>
      <c r="K14" s="511" t="s">
        <v>729</v>
      </c>
      <c r="L14" s="511" t="s">
        <v>729</v>
      </c>
      <c r="M14" s="511" t="s">
        <v>729</v>
      </c>
      <c r="N14" s="511" t="s">
        <v>729</v>
      </c>
      <c r="O14" s="511" t="s">
        <v>729</v>
      </c>
      <c r="P14" s="504"/>
    </row>
    <row r="15" spans="1:24" s="503" customFormat="1" ht="30.75" customHeight="1" outlineLevel="2" thickBot="1" x14ac:dyDescent="0.4">
      <c r="A15" s="481"/>
      <c r="B15" s="481"/>
      <c r="C15" s="509"/>
      <c r="D15" s="509" t="s">
        <v>714</v>
      </c>
      <c r="E15" s="510" t="s">
        <v>30</v>
      </c>
      <c r="F15" s="512"/>
      <c r="G15" s="511"/>
      <c r="H15" s="511"/>
      <c r="I15" s="511"/>
      <c r="J15" s="511"/>
      <c r="K15" s="511"/>
      <c r="L15" s="510"/>
      <c r="M15" s="510"/>
      <c r="N15" s="513"/>
      <c r="O15" s="510"/>
      <c r="P15" s="504"/>
    </row>
    <row r="16" spans="1:24" ht="20.25" customHeight="1" outlineLevel="1" thickBot="1" x14ac:dyDescent="0.4">
      <c r="C16" s="481"/>
      <c r="D16" s="481"/>
      <c r="E16" s="481"/>
      <c r="F16" s="481"/>
      <c r="G16" s="482"/>
      <c r="H16" s="482"/>
      <c r="I16" s="482"/>
      <c r="J16" s="482"/>
      <c r="K16" s="482"/>
      <c r="L16" s="482"/>
      <c r="M16" s="482"/>
      <c r="N16" s="482"/>
      <c r="O16" s="482"/>
      <c r="P16" s="481"/>
    </row>
    <row r="17" spans="1:24" ht="17.25" customHeight="1" thickBot="1" x14ac:dyDescent="0.4">
      <c r="C17" s="483" t="s">
        <v>677</v>
      </c>
      <c r="D17" s="484" t="s">
        <v>678</v>
      </c>
      <c r="E17" s="481"/>
      <c r="F17" s="481"/>
      <c r="G17" s="482"/>
      <c r="H17" s="482"/>
      <c r="I17" s="482"/>
      <c r="J17" s="482"/>
      <c r="K17" s="482"/>
      <c r="L17" s="482"/>
      <c r="M17" s="482"/>
      <c r="N17" s="482"/>
      <c r="O17" s="482"/>
      <c r="P17" s="481"/>
    </row>
    <row r="18" spans="1:24" s="492" customFormat="1" ht="36.75" customHeight="1" thickBot="1" x14ac:dyDescent="0.7">
      <c r="A18" s="481"/>
      <c r="B18" s="486" t="s">
        <v>679</v>
      </c>
      <c r="C18" s="487" t="s">
        <v>148</v>
      </c>
      <c r="D18" s="514" t="str">
        <f>VLOOKUP(C18,overview_of_services!$B$2:$I$88,3,FALSE)</f>
        <v>Control of DHW storage charging (using hot water generation)</v>
      </c>
      <c r="E18" s="489"/>
      <c r="F18" s="490" t="s">
        <v>680</v>
      </c>
      <c r="G18" s="578" t="str">
        <f>VLOOKUP(C18,overview_of_services!$B$2:$I$88,2,FALSE)</f>
        <v>Control DHW production facilities</v>
      </c>
      <c r="H18" s="578"/>
      <c r="I18" s="490"/>
      <c r="J18" s="491"/>
      <c r="K18" s="491"/>
      <c r="L18" s="491"/>
      <c r="M18" s="491"/>
      <c r="N18" s="491"/>
      <c r="O18" s="491"/>
      <c r="R18" s="492" t="s">
        <v>681</v>
      </c>
      <c r="S18" s="492">
        <f>ROW()</f>
        <v>18</v>
      </c>
    </row>
    <row r="19" spans="1:24" ht="5.25" customHeight="1" x14ac:dyDescent="0.35">
      <c r="C19" s="493"/>
      <c r="D19" s="493"/>
      <c r="E19" s="493"/>
      <c r="F19" s="493"/>
      <c r="G19" s="493"/>
      <c r="H19" s="493"/>
      <c r="I19" s="493"/>
      <c r="J19" s="493"/>
      <c r="K19" s="493"/>
      <c r="L19" s="493"/>
      <c r="M19" s="493"/>
      <c r="N19" s="493"/>
      <c r="O19" s="494"/>
      <c r="P19" s="481"/>
    </row>
    <row r="20" spans="1:24" ht="20.25" customHeight="1" outlineLevel="1" x14ac:dyDescent="0.35">
      <c r="C20" s="575" t="s">
        <v>682</v>
      </c>
      <c r="D20" s="575"/>
      <c r="E20" s="577" t="s">
        <v>683</v>
      </c>
      <c r="F20" s="577"/>
      <c r="G20" s="577"/>
      <c r="H20" s="577"/>
      <c r="I20" s="577"/>
      <c r="J20" s="577"/>
      <c r="K20" s="577"/>
      <c r="L20" s="573" t="s">
        <v>684</v>
      </c>
      <c r="M20" s="574"/>
      <c r="N20" s="569" t="s">
        <v>685</v>
      </c>
      <c r="O20" s="571" t="s">
        <v>686</v>
      </c>
      <c r="P20" s="481"/>
    </row>
    <row r="21" spans="1:24" ht="36.75" customHeight="1" outlineLevel="1" thickBot="1" x14ac:dyDescent="0.4">
      <c r="C21" s="576"/>
      <c r="D21" s="576"/>
      <c r="E21" s="495" t="s">
        <v>687</v>
      </c>
      <c r="F21" s="495" t="s">
        <v>688</v>
      </c>
      <c r="G21" s="495" t="s">
        <v>689</v>
      </c>
      <c r="H21" s="495" t="s">
        <v>690</v>
      </c>
      <c r="I21" s="495" t="s">
        <v>616</v>
      </c>
      <c r="J21" s="495" t="s">
        <v>691</v>
      </c>
      <c r="K21" s="495" t="s">
        <v>692</v>
      </c>
      <c r="L21" s="496" t="s">
        <v>693</v>
      </c>
      <c r="M21" s="496" t="s">
        <v>694</v>
      </c>
      <c r="N21" s="570"/>
      <c r="O21" s="572"/>
      <c r="P21" s="481"/>
    </row>
    <row r="22" spans="1:24" s="503" customFormat="1" ht="35.25" customHeight="1" outlineLevel="1" thickTop="1" x14ac:dyDescent="0.5">
      <c r="A22" s="481"/>
      <c r="B22" s="481"/>
      <c r="C22" s="497" t="s">
        <v>695</v>
      </c>
      <c r="D22" s="498" t="str">
        <f>VLOOKUP(C18,overview_of_services!$B$2:$I$88,4,FALSE)</f>
        <v>Automatic control on / off</v>
      </c>
      <c r="E22" s="499">
        <v>0</v>
      </c>
      <c r="F22" s="499">
        <v>0</v>
      </c>
      <c r="G22" s="499">
        <v>0</v>
      </c>
      <c r="H22" s="499">
        <v>0</v>
      </c>
      <c r="I22" s="499">
        <v>0</v>
      </c>
      <c r="J22" s="499">
        <v>0</v>
      </c>
      <c r="K22" s="499">
        <v>0</v>
      </c>
      <c r="L22" s="500" t="s">
        <v>696</v>
      </c>
      <c r="M22" s="500" t="s">
        <v>696</v>
      </c>
      <c r="N22" s="501">
        <v>0</v>
      </c>
      <c r="O22" s="502" t="s">
        <v>697</v>
      </c>
      <c r="P22" s="504"/>
      <c r="R22" s="504">
        <f t="shared" ref="R22:S26" si="3">IF(E22=0,0,(IF(E22="+",1,(IF(E22="++",2,(IF(E22="+++",3,(IF(E22="++++",4,(IF(E22="-",-1,(IF(E22="--",-2,(IF(E22="---",-3,(IF(E22="----",-4,"NA")))))))))))))))))</f>
        <v>0</v>
      </c>
      <c r="S22" s="504">
        <f t="shared" si="3"/>
        <v>0</v>
      </c>
      <c r="T22" s="504">
        <f t="shared" ref="T22:X26" si="4">IF(G22=0,0,(IF(G22="+",1,(IF(G22="++",2,(IF(G22="+++",3,(IF(G22="++++",4,(IF(G22="-",-1,(IF(G22="--",-2,(IF(G22="---",-3,(IF(G22="----",-4,"NA")))))))))))))))))</f>
        <v>0</v>
      </c>
      <c r="U22" s="504">
        <f t="shared" si="4"/>
        <v>0</v>
      </c>
      <c r="V22" s="504">
        <f t="shared" si="4"/>
        <v>0</v>
      </c>
      <c r="W22" s="504">
        <f t="shared" si="4"/>
        <v>0</v>
      </c>
      <c r="X22" s="504">
        <f t="shared" si="4"/>
        <v>0</v>
      </c>
    </row>
    <row r="23" spans="1:24" s="503" customFormat="1" ht="35.25" customHeight="1" outlineLevel="1" x14ac:dyDescent="0.5">
      <c r="A23" s="481"/>
      <c r="B23" s="481"/>
      <c r="C23" s="505" t="s">
        <v>699</v>
      </c>
      <c r="D23" s="506" t="str">
        <f>VLOOKUP(C18,overview_of_services!$B$2:$I$88,5,FALSE)</f>
        <v>Automatic control on / off and scheduled charging enable</v>
      </c>
      <c r="E23" s="499" t="s">
        <v>700</v>
      </c>
      <c r="F23" s="499">
        <v>0</v>
      </c>
      <c r="G23" s="499">
        <v>0</v>
      </c>
      <c r="H23" s="499" t="s">
        <v>700</v>
      </c>
      <c r="I23" s="499">
        <v>0</v>
      </c>
      <c r="J23" s="499">
        <v>0</v>
      </c>
      <c r="K23" s="499">
        <v>0</v>
      </c>
      <c r="L23" s="500" t="s">
        <v>718</v>
      </c>
      <c r="M23" s="500" t="s">
        <v>718</v>
      </c>
      <c r="N23" s="501">
        <v>1</v>
      </c>
      <c r="O23" s="502" t="s">
        <v>738</v>
      </c>
      <c r="P23" s="504"/>
      <c r="R23" s="504">
        <f t="shared" si="3"/>
        <v>1</v>
      </c>
      <c r="S23" s="504">
        <f t="shared" si="3"/>
        <v>0</v>
      </c>
      <c r="T23" s="504">
        <f t="shared" si="4"/>
        <v>0</v>
      </c>
      <c r="U23" s="504">
        <f t="shared" si="4"/>
        <v>1</v>
      </c>
      <c r="V23" s="504">
        <f t="shared" si="4"/>
        <v>0</v>
      </c>
      <c r="W23" s="504">
        <f t="shared" si="4"/>
        <v>0</v>
      </c>
      <c r="X23" s="504">
        <f t="shared" si="4"/>
        <v>0</v>
      </c>
    </row>
    <row r="24" spans="1:24" s="503" customFormat="1" ht="43.5" outlineLevel="1" x14ac:dyDescent="0.5">
      <c r="A24" s="481"/>
      <c r="B24" s="481"/>
      <c r="C24" s="505" t="s">
        <v>703</v>
      </c>
      <c r="D24" s="506" t="str">
        <f>VLOOKUP(C18,overview_of_services!$B$2:$I$88,6,FALSE)</f>
        <v>Automatic on/off control, scheduled charging enable and demand-based supply temperature control or multi-sensor storage management</v>
      </c>
      <c r="E24" s="507" t="s">
        <v>704</v>
      </c>
      <c r="F24" s="499" t="s">
        <v>700</v>
      </c>
      <c r="G24" s="499">
        <v>0</v>
      </c>
      <c r="H24" s="507" t="s">
        <v>704</v>
      </c>
      <c r="I24" s="499">
        <v>0</v>
      </c>
      <c r="J24" s="499">
        <v>0</v>
      </c>
      <c r="K24" s="499">
        <v>0</v>
      </c>
      <c r="L24" s="500" t="s">
        <v>708</v>
      </c>
      <c r="M24" s="500" t="s">
        <v>708</v>
      </c>
      <c r="N24" s="501">
        <v>2</v>
      </c>
      <c r="O24" s="502" t="s">
        <v>740</v>
      </c>
      <c r="P24" s="504"/>
      <c r="R24" s="504">
        <f t="shared" si="3"/>
        <v>2</v>
      </c>
      <c r="S24" s="504">
        <f t="shared" si="3"/>
        <v>1</v>
      </c>
      <c r="T24" s="504">
        <f t="shared" si="4"/>
        <v>0</v>
      </c>
      <c r="U24" s="504">
        <f t="shared" si="4"/>
        <v>2</v>
      </c>
      <c r="V24" s="504">
        <f t="shared" si="4"/>
        <v>0</v>
      </c>
      <c r="W24" s="504">
        <f t="shared" si="4"/>
        <v>0</v>
      </c>
      <c r="X24" s="504">
        <f t="shared" si="4"/>
        <v>0</v>
      </c>
    </row>
    <row r="25" spans="1:24" s="503" customFormat="1" ht="58" outlineLevel="1" x14ac:dyDescent="0.5">
      <c r="A25" s="481"/>
      <c r="B25" s="481"/>
      <c r="C25" s="505" t="s">
        <v>706</v>
      </c>
      <c r="D25" s="506" t="str">
        <f>VLOOKUP(C18,overview_of_services!$B$2:$I$88,7,FALSE)</f>
        <v xml:space="preserve">Automatic charging control based on signals from district heating grid (DR, DSM) </v>
      </c>
      <c r="E25" s="507" t="s">
        <v>704</v>
      </c>
      <c r="F25" s="507" t="s">
        <v>704</v>
      </c>
      <c r="G25" s="499">
        <v>0</v>
      </c>
      <c r="H25" s="507" t="s">
        <v>704</v>
      </c>
      <c r="I25" s="499">
        <v>0</v>
      </c>
      <c r="J25" s="499">
        <v>0</v>
      </c>
      <c r="K25" s="499">
        <v>0</v>
      </c>
      <c r="L25" s="500" t="s">
        <v>708</v>
      </c>
      <c r="M25" s="500" t="s">
        <v>708</v>
      </c>
      <c r="N25" s="501">
        <v>3</v>
      </c>
      <c r="O25" s="502" t="s">
        <v>741</v>
      </c>
      <c r="P25" s="504"/>
      <c r="R25" s="504">
        <f t="shared" si="3"/>
        <v>2</v>
      </c>
      <c r="S25" s="504">
        <f t="shared" si="3"/>
        <v>2</v>
      </c>
      <c r="T25" s="504">
        <f t="shared" si="4"/>
        <v>0</v>
      </c>
      <c r="U25" s="504">
        <f t="shared" si="4"/>
        <v>2</v>
      </c>
      <c r="V25" s="504">
        <f t="shared" si="4"/>
        <v>0</v>
      </c>
      <c r="W25" s="504">
        <f t="shared" si="4"/>
        <v>0</v>
      </c>
      <c r="X25" s="504">
        <f t="shared" si="4"/>
        <v>0</v>
      </c>
    </row>
    <row r="26" spans="1:24" s="503" customFormat="1" ht="35.25" customHeight="1" outlineLevel="1" x14ac:dyDescent="0.5">
      <c r="A26" s="481"/>
      <c r="B26" s="481"/>
      <c r="C26" s="505" t="s">
        <v>710</v>
      </c>
      <c r="D26" s="506">
        <f>VLOOKUP(C18,overview_of_services!$B$2:$I$88,8,FALSE)</f>
        <v>0</v>
      </c>
      <c r="E26" s="507"/>
      <c r="F26" s="499"/>
      <c r="G26" s="507"/>
      <c r="H26" s="507"/>
      <c r="I26" s="499"/>
      <c r="J26" s="499"/>
      <c r="K26" s="499"/>
      <c r="L26" s="500"/>
      <c r="M26" s="500"/>
      <c r="N26" s="501"/>
      <c r="O26" s="502"/>
      <c r="P26" s="504"/>
      <c r="R26" s="504">
        <f t="shared" si="3"/>
        <v>0</v>
      </c>
      <c r="S26" s="504">
        <f t="shared" si="3"/>
        <v>0</v>
      </c>
      <c r="T26" s="504">
        <f t="shared" si="4"/>
        <v>0</v>
      </c>
      <c r="U26" s="504">
        <f t="shared" si="4"/>
        <v>0</v>
      </c>
      <c r="V26" s="504">
        <f t="shared" si="4"/>
        <v>0</v>
      </c>
      <c r="W26" s="504">
        <f t="shared" si="4"/>
        <v>0</v>
      </c>
      <c r="X26" s="504">
        <f t="shared" si="4"/>
        <v>0</v>
      </c>
    </row>
    <row r="27" spans="1:24" s="503" customFormat="1" ht="6" customHeight="1" outlineLevel="2" thickBot="1" x14ac:dyDescent="0.4">
      <c r="A27" s="481"/>
      <c r="B27" s="481"/>
      <c r="C27" s="504"/>
      <c r="D27" s="504"/>
      <c r="E27" s="508"/>
      <c r="F27" s="508"/>
      <c r="G27" s="508"/>
      <c r="H27" s="508"/>
      <c r="I27" s="508"/>
      <c r="J27" s="508"/>
      <c r="K27" s="508"/>
      <c r="L27" s="504"/>
      <c r="M27" s="504"/>
      <c r="N27" s="504"/>
      <c r="O27" s="508"/>
      <c r="P27" s="504"/>
    </row>
    <row r="28" spans="1:24" s="503" customFormat="1" ht="30.75" customHeight="1" outlineLevel="2" thickBot="1" x14ac:dyDescent="0.4">
      <c r="A28" s="481"/>
      <c r="B28" s="481"/>
      <c r="C28" s="509"/>
      <c r="D28" s="509" t="s">
        <v>712</v>
      </c>
      <c r="E28" s="510" t="s">
        <v>729</v>
      </c>
      <c r="F28" s="511" t="s">
        <v>729</v>
      </c>
      <c r="G28" s="511" t="s">
        <v>729</v>
      </c>
      <c r="H28" s="511" t="s">
        <v>729</v>
      </c>
      <c r="I28" s="511" t="s">
        <v>729</v>
      </c>
      <c r="J28" s="511" t="s">
        <v>729</v>
      </c>
      <c r="K28" s="511" t="s">
        <v>729</v>
      </c>
      <c r="L28" s="511" t="s">
        <v>729</v>
      </c>
      <c r="M28" s="511" t="s">
        <v>729</v>
      </c>
      <c r="N28" s="511" t="s">
        <v>729</v>
      </c>
      <c r="O28" s="511" t="s">
        <v>729</v>
      </c>
      <c r="P28" s="504"/>
    </row>
    <row r="29" spans="1:24" s="503" customFormat="1" ht="30.75" customHeight="1" outlineLevel="2" thickBot="1" x14ac:dyDescent="0.4">
      <c r="A29" s="481"/>
      <c r="B29" s="481"/>
      <c r="C29" s="509"/>
      <c r="D29" s="509" t="s">
        <v>714</v>
      </c>
      <c r="E29" s="510" t="s">
        <v>30</v>
      </c>
      <c r="F29" s="512"/>
      <c r="G29" s="511"/>
      <c r="H29" s="511"/>
      <c r="I29" s="511"/>
      <c r="J29" s="511"/>
      <c r="K29" s="511"/>
      <c r="L29" s="510"/>
      <c r="M29" s="510"/>
      <c r="N29" s="513"/>
      <c r="O29" s="510"/>
      <c r="P29" s="504"/>
    </row>
    <row r="30" spans="1:24" ht="20.25" customHeight="1" outlineLevel="1" thickBot="1" x14ac:dyDescent="0.4">
      <c r="C30" s="481"/>
      <c r="D30" s="481"/>
      <c r="E30" s="481"/>
      <c r="F30" s="481"/>
      <c r="G30" s="482"/>
      <c r="H30" s="482"/>
      <c r="I30" s="482"/>
      <c r="J30" s="482"/>
      <c r="K30" s="482"/>
      <c r="L30" s="482"/>
      <c r="M30" s="482"/>
      <c r="N30" s="482"/>
      <c r="O30" s="482"/>
      <c r="P30" s="481"/>
    </row>
    <row r="31" spans="1:24" ht="17.25" customHeight="1" thickBot="1" x14ac:dyDescent="0.4">
      <c r="C31" s="483" t="s">
        <v>677</v>
      </c>
      <c r="D31" s="484" t="s">
        <v>678</v>
      </c>
      <c r="E31" s="481"/>
      <c r="F31" s="481"/>
      <c r="G31" s="482"/>
      <c r="H31" s="482"/>
      <c r="I31" s="482"/>
      <c r="J31" s="482"/>
      <c r="K31" s="482"/>
      <c r="L31" s="482"/>
      <c r="M31" s="482"/>
      <c r="N31" s="482"/>
      <c r="O31" s="482"/>
      <c r="P31" s="481"/>
    </row>
    <row r="32" spans="1:24" s="492" customFormat="1" ht="36.75" customHeight="1" thickBot="1" x14ac:dyDescent="0.7">
      <c r="A32" s="481"/>
      <c r="B32" s="486" t="s">
        <v>679</v>
      </c>
      <c r="C32" s="487" t="s">
        <v>154</v>
      </c>
      <c r="D32" s="514" t="str">
        <f>VLOOKUP(C32,overview_of_services!$B$2:$I$88,3,FALSE)</f>
        <v>Control of DHW storage temperature, varying seasonally: with heat generation or integrated electric heating</v>
      </c>
      <c r="E32" s="489"/>
      <c r="F32" s="490" t="s">
        <v>680</v>
      </c>
      <c r="G32" s="578" t="str">
        <f>VLOOKUP(C32,overview_of_services!$B$2:$I$88,2,FALSE)</f>
        <v>Control DHW production facilities</v>
      </c>
      <c r="H32" s="578"/>
      <c r="I32" s="490"/>
      <c r="J32" s="491"/>
      <c r="K32" s="491"/>
      <c r="L32" s="491"/>
      <c r="M32" s="491"/>
      <c r="N32" s="491"/>
      <c r="O32" s="491"/>
      <c r="R32" s="492" t="s">
        <v>681</v>
      </c>
      <c r="S32" s="492">
        <f>ROW()</f>
        <v>32</v>
      </c>
    </row>
    <row r="33" spans="1:24" ht="5.25" customHeight="1" x14ac:dyDescent="0.35">
      <c r="C33" s="493"/>
      <c r="D33" s="493"/>
      <c r="E33" s="493"/>
      <c r="F33" s="493"/>
      <c r="G33" s="493"/>
      <c r="H33" s="493"/>
      <c r="I33" s="493"/>
      <c r="J33" s="493"/>
      <c r="K33" s="493"/>
      <c r="L33" s="493"/>
      <c r="M33" s="493"/>
      <c r="N33" s="493"/>
      <c r="O33" s="494"/>
      <c r="P33" s="481"/>
    </row>
    <row r="34" spans="1:24" ht="20.25" customHeight="1" outlineLevel="1" x14ac:dyDescent="0.35">
      <c r="C34" s="575" t="s">
        <v>682</v>
      </c>
      <c r="D34" s="575"/>
      <c r="E34" s="577" t="s">
        <v>683</v>
      </c>
      <c r="F34" s="577"/>
      <c r="G34" s="577"/>
      <c r="H34" s="577"/>
      <c r="I34" s="577"/>
      <c r="J34" s="577"/>
      <c r="K34" s="577"/>
      <c r="L34" s="573" t="s">
        <v>684</v>
      </c>
      <c r="M34" s="574"/>
      <c r="N34" s="569" t="s">
        <v>685</v>
      </c>
      <c r="O34" s="571" t="s">
        <v>686</v>
      </c>
      <c r="P34" s="481"/>
    </row>
    <row r="35" spans="1:24" ht="36.75" customHeight="1" outlineLevel="1" thickBot="1" x14ac:dyDescent="0.4">
      <c r="C35" s="576"/>
      <c r="D35" s="576"/>
      <c r="E35" s="495" t="s">
        <v>687</v>
      </c>
      <c r="F35" s="495" t="s">
        <v>688</v>
      </c>
      <c r="G35" s="495" t="s">
        <v>689</v>
      </c>
      <c r="H35" s="495" t="s">
        <v>690</v>
      </c>
      <c r="I35" s="495" t="s">
        <v>616</v>
      </c>
      <c r="J35" s="495" t="s">
        <v>691</v>
      </c>
      <c r="K35" s="495" t="s">
        <v>692</v>
      </c>
      <c r="L35" s="496" t="s">
        <v>693</v>
      </c>
      <c r="M35" s="496" t="s">
        <v>694</v>
      </c>
      <c r="N35" s="570"/>
      <c r="O35" s="572"/>
      <c r="P35" s="481"/>
    </row>
    <row r="36" spans="1:24" s="503" customFormat="1" ht="35.25" customHeight="1" outlineLevel="1" thickTop="1" x14ac:dyDescent="0.5">
      <c r="A36" s="481"/>
      <c r="B36" s="481"/>
      <c r="C36" s="497" t="s">
        <v>695</v>
      </c>
      <c r="D36" s="498" t="str">
        <f>VLOOKUP(C32,overview_of_services!$B$2:$I$88,4,FALSE)</f>
        <v>Manual selected control with charging pump on / off or electric heating</v>
      </c>
      <c r="E36" s="499">
        <v>0</v>
      </c>
      <c r="F36" s="499">
        <v>0</v>
      </c>
      <c r="G36" s="499">
        <v>0</v>
      </c>
      <c r="H36" s="499">
        <v>0</v>
      </c>
      <c r="I36" s="499">
        <v>0</v>
      </c>
      <c r="J36" s="499">
        <v>0</v>
      </c>
      <c r="K36" s="499">
        <v>0</v>
      </c>
      <c r="L36" s="500" t="s">
        <v>696</v>
      </c>
      <c r="M36" s="500" t="s">
        <v>696</v>
      </c>
      <c r="N36" s="501">
        <v>0</v>
      </c>
      <c r="O36" s="502" t="s">
        <v>697</v>
      </c>
      <c r="P36" s="504"/>
      <c r="R36" s="504">
        <f t="shared" ref="R36:S40" si="5">IF(E36=0,0,(IF(E36="+",1,(IF(E36="++",2,(IF(E36="+++",3,(IF(E36="++++",4,(IF(E36="-",-1,(IF(E36="--",-2,(IF(E36="---",-3,(IF(E36="----",-4,"NA")))))))))))))))))</f>
        <v>0</v>
      </c>
      <c r="S36" s="504">
        <f t="shared" si="5"/>
        <v>0</v>
      </c>
      <c r="T36" s="504">
        <f t="shared" ref="T36:X40" si="6">IF(G36=0,0,(IF(G36="+",1,(IF(G36="++",2,(IF(G36="+++",3,(IF(G36="++++",4,(IF(G36="-",-1,(IF(G36="--",-2,(IF(G36="---",-3,(IF(G36="----",-4,"NA")))))))))))))))))</f>
        <v>0</v>
      </c>
      <c r="U36" s="504">
        <f t="shared" si="6"/>
        <v>0</v>
      </c>
      <c r="V36" s="504">
        <f t="shared" si="6"/>
        <v>0</v>
      </c>
      <c r="W36" s="504">
        <f t="shared" si="6"/>
        <v>0</v>
      </c>
      <c r="X36" s="504">
        <f t="shared" si="6"/>
        <v>0</v>
      </c>
    </row>
    <row r="37" spans="1:24" s="503" customFormat="1" ht="43.5" outlineLevel="1" x14ac:dyDescent="0.5">
      <c r="A37" s="481"/>
      <c r="B37" s="481"/>
      <c r="C37" s="505" t="s">
        <v>699</v>
      </c>
      <c r="D37" s="506" t="str">
        <f>VLOOKUP(C32,overview_of_services!$B$2:$I$88,5,FALSE)</f>
        <v>Automatic selected control with charging pump on / off or electric heating and charging time release</v>
      </c>
      <c r="E37" s="499" t="s">
        <v>700</v>
      </c>
      <c r="F37" s="499" t="s">
        <v>700</v>
      </c>
      <c r="G37" s="499">
        <v>0</v>
      </c>
      <c r="H37" s="499" t="s">
        <v>700</v>
      </c>
      <c r="I37" s="499">
        <v>0</v>
      </c>
      <c r="J37" s="499">
        <v>0</v>
      </c>
      <c r="K37" s="499">
        <v>0</v>
      </c>
      <c r="L37" s="500" t="s">
        <v>718</v>
      </c>
      <c r="M37" s="500" t="s">
        <v>718</v>
      </c>
      <c r="N37" s="501">
        <v>3</v>
      </c>
      <c r="O37" s="502" t="s">
        <v>742</v>
      </c>
      <c r="P37" s="504"/>
      <c r="R37" s="504">
        <f t="shared" si="5"/>
        <v>1</v>
      </c>
      <c r="S37" s="504">
        <f t="shared" si="5"/>
        <v>1</v>
      </c>
      <c r="T37" s="504">
        <f t="shared" si="6"/>
        <v>0</v>
      </c>
      <c r="U37" s="504">
        <f t="shared" si="6"/>
        <v>1</v>
      </c>
      <c r="V37" s="504">
        <f t="shared" si="6"/>
        <v>0</v>
      </c>
      <c r="W37" s="504">
        <f t="shared" si="6"/>
        <v>0</v>
      </c>
      <c r="X37" s="504">
        <f t="shared" si="6"/>
        <v>0</v>
      </c>
    </row>
    <row r="38" spans="1:24" s="503" customFormat="1" ht="58" outlineLevel="1" x14ac:dyDescent="0.5">
      <c r="A38" s="481"/>
      <c r="B38" s="481"/>
      <c r="C38" s="505" t="s">
        <v>703</v>
      </c>
      <c r="D38" s="506" t="str">
        <f>VLOOKUP(C32,overview_of_services!$B$2:$I$88,6,FALSE)</f>
        <v>Automatic selected control with charging pump on / off or electric heating, charging time release and demand-oriented supply or multi-sensor storage management</v>
      </c>
      <c r="E38" s="507" t="s">
        <v>704</v>
      </c>
      <c r="F38" s="507" t="s">
        <v>704</v>
      </c>
      <c r="G38" s="499">
        <v>0</v>
      </c>
      <c r="H38" s="507" t="s">
        <v>704</v>
      </c>
      <c r="I38" s="499">
        <v>0</v>
      </c>
      <c r="J38" s="499">
        <v>0</v>
      </c>
      <c r="K38" s="499">
        <v>0</v>
      </c>
      <c r="L38" s="500" t="s">
        <v>708</v>
      </c>
      <c r="M38" s="500" t="s">
        <v>708</v>
      </c>
      <c r="N38" s="501">
        <v>3</v>
      </c>
      <c r="O38" s="502" t="s">
        <v>743</v>
      </c>
      <c r="P38" s="504"/>
      <c r="R38" s="504">
        <f t="shared" si="5"/>
        <v>2</v>
      </c>
      <c r="S38" s="504">
        <f t="shared" si="5"/>
        <v>2</v>
      </c>
      <c r="T38" s="504">
        <f t="shared" si="6"/>
        <v>0</v>
      </c>
      <c r="U38" s="504">
        <f t="shared" si="6"/>
        <v>2</v>
      </c>
      <c r="V38" s="504">
        <f t="shared" si="6"/>
        <v>0</v>
      </c>
      <c r="W38" s="504">
        <f t="shared" si="6"/>
        <v>0</v>
      </c>
      <c r="X38" s="504">
        <f t="shared" si="6"/>
        <v>0</v>
      </c>
    </row>
    <row r="39" spans="1:24" s="503" customFormat="1" ht="58" outlineLevel="1" x14ac:dyDescent="0.5">
      <c r="A39" s="481"/>
      <c r="B39" s="481"/>
      <c r="C39" s="505" t="s">
        <v>706</v>
      </c>
      <c r="D39" s="506" t="str">
        <f>VLOOKUP(C32,overview_of_services!$B$2:$I$88,7,FALSE)</f>
        <v>Automatic selected control with heat generation, demand-oriented supply and return temperature control or electric heating, charging time release and multi-sensor storage management</v>
      </c>
      <c r="E39" s="507" t="s">
        <v>707</v>
      </c>
      <c r="F39" s="507" t="s">
        <v>707</v>
      </c>
      <c r="G39" s="499">
        <v>0</v>
      </c>
      <c r="H39" s="507" t="s">
        <v>704</v>
      </c>
      <c r="I39" s="499">
        <v>0</v>
      </c>
      <c r="J39" s="499">
        <v>0</v>
      </c>
      <c r="K39" s="499">
        <v>0</v>
      </c>
      <c r="L39" s="500" t="s">
        <v>708</v>
      </c>
      <c r="M39" s="500" t="s">
        <v>708</v>
      </c>
      <c r="N39" s="501">
        <v>3</v>
      </c>
      <c r="O39" s="502" t="s">
        <v>743</v>
      </c>
      <c r="P39" s="504"/>
      <c r="R39" s="504">
        <f t="shared" si="5"/>
        <v>3</v>
      </c>
      <c r="S39" s="504">
        <f t="shared" si="5"/>
        <v>3</v>
      </c>
      <c r="T39" s="504">
        <f t="shared" si="6"/>
        <v>0</v>
      </c>
      <c r="U39" s="504">
        <f t="shared" si="6"/>
        <v>2</v>
      </c>
      <c r="V39" s="504">
        <f t="shared" si="6"/>
        <v>0</v>
      </c>
      <c r="W39" s="504">
        <f t="shared" si="6"/>
        <v>0</v>
      </c>
      <c r="X39" s="504">
        <f t="shared" si="6"/>
        <v>0</v>
      </c>
    </row>
    <row r="40" spans="1:24" s="503" customFormat="1" ht="35.25" customHeight="1" outlineLevel="1" x14ac:dyDescent="0.5">
      <c r="A40" s="481"/>
      <c r="B40" s="481"/>
      <c r="C40" s="505" t="s">
        <v>710</v>
      </c>
      <c r="D40" s="506">
        <f>VLOOKUP(C32,overview_of_services!$B$2:$I$88,8,FALSE)</f>
        <v>0</v>
      </c>
      <c r="E40" s="507"/>
      <c r="F40" s="499"/>
      <c r="G40" s="507"/>
      <c r="H40" s="507"/>
      <c r="I40" s="499"/>
      <c r="J40" s="499"/>
      <c r="K40" s="499"/>
      <c r="L40" s="500"/>
      <c r="M40" s="500"/>
      <c r="N40" s="501"/>
      <c r="O40" s="502"/>
      <c r="P40" s="504"/>
      <c r="R40" s="504">
        <f t="shared" si="5"/>
        <v>0</v>
      </c>
      <c r="S40" s="504">
        <f t="shared" si="5"/>
        <v>0</v>
      </c>
      <c r="T40" s="504">
        <f t="shared" si="6"/>
        <v>0</v>
      </c>
      <c r="U40" s="504">
        <f t="shared" si="6"/>
        <v>0</v>
      </c>
      <c r="V40" s="504">
        <f t="shared" si="6"/>
        <v>0</v>
      </c>
      <c r="W40" s="504">
        <f t="shared" si="6"/>
        <v>0</v>
      </c>
      <c r="X40" s="504">
        <f t="shared" si="6"/>
        <v>0</v>
      </c>
    </row>
    <row r="41" spans="1:24" s="503" customFormat="1" ht="6" customHeight="1" outlineLevel="2" thickBot="1" x14ac:dyDescent="0.4">
      <c r="A41" s="481"/>
      <c r="B41" s="481"/>
      <c r="C41" s="504"/>
      <c r="D41" s="504"/>
      <c r="E41" s="508"/>
      <c r="F41" s="508"/>
      <c r="G41" s="508"/>
      <c r="H41" s="508"/>
      <c r="I41" s="508"/>
      <c r="J41" s="508"/>
      <c r="K41" s="508"/>
      <c r="L41" s="504"/>
      <c r="M41" s="504"/>
      <c r="N41" s="504"/>
      <c r="O41" s="508"/>
      <c r="P41" s="504"/>
    </row>
    <row r="42" spans="1:24" s="503" customFormat="1" ht="30.75" customHeight="1" outlineLevel="2" thickBot="1" x14ac:dyDescent="0.4">
      <c r="A42" s="481"/>
      <c r="B42" s="481"/>
      <c r="C42" s="509"/>
      <c r="D42" s="509" t="s">
        <v>712</v>
      </c>
      <c r="E42" s="510" t="s">
        <v>729</v>
      </c>
      <c r="F42" s="511" t="s">
        <v>729</v>
      </c>
      <c r="G42" s="511" t="s">
        <v>729</v>
      </c>
      <c r="H42" s="511" t="s">
        <v>729</v>
      </c>
      <c r="I42" s="511" t="s">
        <v>729</v>
      </c>
      <c r="J42" s="511" t="s">
        <v>729</v>
      </c>
      <c r="K42" s="511" t="s">
        <v>729</v>
      </c>
      <c r="L42" s="511" t="s">
        <v>729</v>
      </c>
      <c r="M42" s="511" t="s">
        <v>729</v>
      </c>
      <c r="N42" s="511" t="s">
        <v>729</v>
      </c>
      <c r="O42" s="511" t="s">
        <v>729</v>
      </c>
      <c r="P42" s="504"/>
    </row>
    <row r="43" spans="1:24" s="503" customFormat="1" ht="30.75" customHeight="1" outlineLevel="2" thickBot="1" x14ac:dyDescent="0.4">
      <c r="A43" s="481"/>
      <c r="B43" s="481"/>
      <c r="C43" s="509"/>
      <c r="D43" s="509" t="s">
        <v>714</v>
      </c>
      <c r="E43" s="510" t="s">
        <v>30</v>
      </c>
      <c r="F43" s="512"/>
      <c r="G43" s="511"/>
      <c r="H43" s="511"/>
      <c r="I43" s="511"/>
      <c r="J43" s="511"/>
      <c r="K43" s="511"/>
      <c r="L43" s="510"/>
      <c r="M43" s="510"/>
      <c r="N43" s="513"/>
      <c r="O43" s="510"/>
      <c r="P43" s="504"/>
    </row>
    <row r="44" spans="1:24" ht="20.25" customHeight="1" outlineLevel="1" thickBot="1" x14ac:dyDescent="0.4">
      <c r="C44" s="481"/>
      <c r="D44" s="481"/>
      <c r="E44" s="481"/>
      <c r="F44" s="481"/>
      <c r="G44" s="482"/>
      <c r="H44" s="482"/>
      <c r="I44" s="482"/>
      <c r="J44" s="482"/>
      <c r="K44" s="482"/>
      <c r="L44" s="482"/>
      <c r="M44" s="482"/>
      <c r="N44" s="482"/>
      <c r="O44" s="482"/>
      <c r="P44" s="481"/>
    </row>
    <row r="45" spans="1:24" ht="17.25" customHeight="1" thickBot="1" x14ac:dyDescent="0.4">
      <c r="C45" s="483" t="s">
        <v>677</v>
      </c>
      <c r="D45" s="484" t="s">
        <v>678</v>
      </c>
      <c r="E45" s="481"/>
      <c r="F45" s="481"/>
      <c r="G45" s="482"/>
      <c r="H45" s="482"/>
      <c r="I45" s="482"/>
      <c r="J45" s="482"/>
      <c r="K45" s="482"/>
      <c r="L45" s="482"/>
      <c r="M45" s="482"/>
      <c r="N45" s="482"/>
      <c r="O45" s="482"/>
      <c r="P45" s="481"/>
    </row>
    <row r="46" spans="1:24" s="492" customFormat="1" ht="36.75" customHeight="1" thickBot="1" x14ac:dyDescent="0.7">
      <c r="A46" s="481"/>
      <c r="B46" s="486" t="s">
        <v>679</v>
      </c>
      <c r="C46" s="487" t="s">
        <v>162</v>
      </c>
      <c r="D46" s="514" t="str">
        <f>VLOOKUP(C46,overview_of_services!$B$2:$I$88,3,FALSE)</f>
        <v>Control of DHW storage charging (with solar collector and supplymentary heat generation)</v>
      </c>
      <c r="E46" s="489"/>
      <c r="F46" s="490" t="s">
        <v>680</v>
      </c>
      <c r="G46" s="578" t="str">
        <f>VLOOKUP(C46,overview_of_services!$B$2:$I$88,2,FALSE)</f>
        <v>Control DHW production facilities</v>
      </c>
      <c r="H46" s="578"/>
      <c r="I46" s="490"/>
      <c r="J46" s="491"/>
      <c r="K46" s="491"/>
      <c r="L46" s="491"/>
      <c r="M46" s="491"/>
      <c r="N46" s="491"/>
      <c r="O46" s="491"/>
      <c r="R46" s="492" t="s">
        <v>681</v>
      </c>
      <c r="S46" s="492">
        <f>ROW()</f>
        <v>46</v>
      </c>
    </row>
    <row r="47" spans="1:24" ht="5.25" customHeight="1" x14ac:dyDescent="0.35">
      <c r="C47" s="493"/>
      <c r="D47" s="493"/>
      <c r="E47" s="493"/>
      <c r="F47" s="493"/>
      <c r="G47" s="493"/>
      <c r="H47" s="493"/>
      <c r="I47" s="493"/>
      <c r="J47" s="493"/>
      <c r="K47" s="493"/>
      <c r="L47" s="493"/>
      <c r="M47" s="493"/>
      <c r="N47" s="493"/>
      <c r="O47" s="494"/>
      <c r="P47" s="481"/>
    </row>
    <row r="48" spans="1:24" ht="20.25" customHeight="1" outlineLevel="1" x14ac:dyDescent="0.35">
      <c r="C48" s="575" t="s">
        <v>682</v>
      </c>
      <c r="D48" s="575"/>
      <c r="E48" s="577" t="s">
        <v>683</v>
      </c>
      <c r="F48" s="577"/>
      <c r="G48" s="577"/>
      <c r="H48" s="577"/>
      <c r="I48" s="577"/>
      <c r="J48" s="577"/>
      <c r="K48" s="577"/>
      <c r="L48" s="573" t="s">
        <v>684</v>
      </c>
      <c r="M48" s="574"/>
      <c r="N48" s="569" t="s">
        <v>685</v>
      </c>
      <c r="O48" s="571" t="s">
        <v>686</v>
      </c>
      <c r="P48" s="481"/>
    </row>
    <row r="49" spans="1:24" ht="36.75" customHeight="1" outlineLevel="1" thickBot="1" x14ac:dyDescent="0.4">
      <c r="C49" s="576"/>
      <c r="D49" s="576"/>
      <c r="E49" s="495" t="s">
        <v>687</v>
      </c>
      <c r="F49" s="495" t="s">
        <v>688</v>
      </c>
      <c r="G49" s="495" t="s">
        <v>689</v>
      </c>
      <c r="H49" s="495" t="s">
        <v>690</v>
      </c>
      <c r="I49" s="495" t="s">
        <v>616</v>
      </c>
      <c r="J49" s="495" t="s">
        <v>691</v>
      </c>
      <c r="K49" s="495" t="s">
        <v>692</v>
      </c>
      <c r="L49" s="496" t="s">
        <v>693</v>
      </c>
      <c r="M49" s="496" t="s">
        <v>694</v>
      </c>
      <c r="N49" s="570"/>
      <c r="O49" s="572"/>
      <c r="P49" s="481"/>
    </row>
    <row r="50" spans="1:24" s="503" customFormat="1" ht="35.25" customHeight="1" outlineLevel="1" thickTop="1" x14ac:dyDescent="0.5">
      <c r="A50" s="481"/>
      <c r="B50" s="481"/>
      <c r="C50" s="497" t="s">
        <v>695</v>
      </c>
      <c r="D50" s="498" t="str">
        <f>VLOOKUP(C46,overview_of_services!$B$2:$I$88,4,FALSE)</f>
        <v>Manual selected control of solar energy or heat generation</v>
      </c>
      <c r="E50" s="499">
        <v>0</v>
      </c>
      <c r="F50" s="499">
        <v>0</v>
      </c>
      <c r="G50" s="499">
        <v>0</v>
      </c>
      <c r="H50" s="499">
        <v>0</v>
      </c>
      <c r="I50" s="499">
        <v>0</v>
      </c>
      <c r="J50" s="499">
        <v>0</v>
      </c>
      <c r="K50" s="499">
        <v>0</v>
      </c>
      <c r="L50" s="500" t="s">
        <v>696</v>
      </c>
      <c r="M50" s="500" t="s">
        <v>696</v>
      </c>
      <c r="N50" s="501">
        <v>0</v>
      </c>
      <c r="O50" s="502" t="s">
        <v>697</v>
      </c>
      <c r="P50" s="504"/>
      <c r="R50" s="504">
        <f t="shared" ref="R50:S54" si="7">IF(E50=0,0,(IF(E50="+",1,(IF(E50="++",2,(IF(E50="+++",3,(IF(E50="++++",4,(IF(E50="-",-1,(IF(E50="--",-2,(IF(E50="---",-3,(IF(E50="----",-4,"NA")))))))))))))))))</f>
        <v>0</v>
      </c>
      <c r="S50" s="504">
        <f t="shared" si="7"/>
        <v>0</v>
      </c>
      <c r="T50" s="504">
        <f t="shared" ref="T50:X54" si="8">IF(G50=0,0,(IF(G50="+",1,(IF(G50="++",2,(IF(G50="+++",3,(IF(G50="++++",4,(IF(G50="-",-1,(IF(G50="--",-2,(IF(G50="---",-3,(IF(G50="----",-4,"NA")))))))))))))))))</f>
        <v>0</v>
      </c>
      <c r="U50" s="504">
        <f t="shared" si="8"/>
        <v>0</v>
      </c>
      <c r="V50" s="504">
        <f t="shared" si="8"/>
        <v>0</v>
      </c>
      <c r="W50" s="504">
        <f t="shared" si="8"/>
        <v>0</v>
      </c>
      <c r="X50" s="504">
        <f t="shared" si="8"/>
        <v>0</v>
      </c>
    </row>
    <row r="51" spans="1:24" s="503" customFormat="1" ht="35.25" customHeight="1" outlineLevel="1" x14ac:dyDescent="0.5">
      <c r="A51" s="481"/>
      <c r="B51" s="481"/>
      <c r="C51" s="505" t="s">
        <v>699</v>
      </c>
      <c r="D51" s="506" t="str">
        <f>VLOOKUP(C46,overview_of_services!$B$2:$I$88,5,FALSE)</f>
        <v>Automatic control of solar storage charge (Prio. 1) and supplementary storage charge</v>
      </c>
      <c r="E51" s="499" t="s">
        <v>700</v>
      </c>
      <c r="F51" s="499">
        <v>0</v>
      </c>
      <c r="G51" s="499">
        <v>0</v>
      </c>
      <c r="H51" s="499" t="s">
        <v>700</v>
      </c>
      <c r="I51" s="499">
        <v>0</v>
      </c>
      <c r="J51" s="499">
        <v>0</v>
      </c>
      <c r="K51" s="499">
        <v>0</v>
      </c>
      <c r="L51" s="500" t="s">
        <v>708</v>
      </c>
      <c r="M51" s="500" t="s">
        <v>708</v>
      </c>
      <c r="N51" s="501">
        <v>1</v>
      </c>
      <c r="O51" s="502" t="s">
        <v>744</v>
      </c>
      <c r="P51" s="504"/>
      <c r="R51" s="504">
        <f t="shared" si="7"/>
        <v>1</v>
      </c>
      <c r="S51" s="504">
        <f t="shared" si="7"/>
        <v>0</v>
      </c>
      <c r="T51" s="504">
        <f t="shared" si="8"/>
        <v>0</v>
      </c>
      <c r="U51" s="504">
        <f t="shared" si="8"/>
        <v>1</v>
      </c>
      <c r="V51" s="504">
        <f t="shared" si="8"/>
        <v>0</v>
      </c>
      <c r="W51" s="504">
        <f t="shared" si="8"/>
        <v>0</v>
      </c>
      <c r="X51" s="504">
        <f t="shared" si="8"/>
        <v>0</v>
      </c>
    </row>
    <row r="52" spans="1:24" s="503" customFormat="1" ht="58" outlineLevel="1" x14ac:dyDescent="0.5">
      <c r="A52" s="481"/>
      <c r="B52" s="481"/>
      <c r="C52" s="505" t="s">
        <v>703</v>
      </c>
      <c r="D52" s="506" t="str">
        <f>VLOOKUP(C46,overview_of_services!$B$2:$I$88,6,FALSE)</f>
        <v>Automatic control of solar storage charge (Prio. 1) and supplementary storage charge and demand-oriented supply or multi-sensor storage management</v>
      </c>
      <c r="E52" s="507" t="s">
        <v>704</v>
      </c>
      <c r="F52" s="499">
        <v>0</v>
      </c>
      <c r="G52" s="499">
        <v>0</v>
      </c>
      <c r="H52" s="507" t="s">
        <v>704</v>
      </c>
      <c r="I52" s="499">
        <v>0</v>
      </c>
      <c r="J52" s="499">
        <v>0</v>
      </c>
      <c r="K52" s="499">
        <v>0</v>
      </c>
      <c r="L52" s="500" t="s">
        <v>708</v>
      </c>
      <c r="M52" s="500" t="s">
        <v>708</v>
      </c>
      <c r="N52" s="501">
        <v>2</v>
      </c>
      <c r="O52" s="502" t="s">
        <v>745</v>
      </c>
      <c r="P52" s="504"/>
      <c r="R52" s="504">
        <f t="shared" si="7"/>
        <v>2</v>
      </c>
      <c r="S52" s="504">
        <f t="shared" si="7"/>
        <v>0</v>
      </c>
      <c r="T52" s="504">
        <f t="shared" si="8"/>
        <v>0</v>
      </c>
      <c r="U52" s="504">
        <f t="shared" si="8"/>
        <v>2</v>
      </c>
      <c r="V52" s="504">
        <f t="shared" si="8"/>
        <v>0</v>
      </c>
      <c r="W52" s="504">
        <f t="shared" si="8"/>
        <v>0</v>
      </c>
      <c r="X52" s="504">
        <f t="shared" si="8"/>
        <v>0</v>
      </c>
    </row>
    <row r="53" spans="1:24" s="503" customFormat="1" ht="58" outlineLevel="1" x14ac:dyDescent="0.5">
      <c r="A53" s="481"/>
      <c r="B53" s="481"/>
      <c r="C53" s="505" t="s">
        <v>706</v>
      </c>
      <c r="D53" s="506" t="str">
        <f>VLOOKUP(C46,overview_of_services!$B$2:$I$88,7,FALSE)</f>
        <v>Automatic control of solar storage charge (Prio. 1) and supplementary storage charge, demand-oriented supply and return temperature control and multi-sensor storage management</v>
      </c>
      <c r="E53" s="507" t="s">
        <v>707</v>
      </c>
      <c r="F53" s="499">
        <v>0</v>
      </c>
      <c r="G53" s="499">
        <v>0</v>
      </c>
      <c r="H53" s="507" t="s">
        <v>704</v>
      </c>
      <c r="I53" s="499">
        <v>0</v>
      </c>
      <c r="J53" s="499">
        <v>0</v>
      </c>
      <c r="K53" s="499">
        <v>0</v>
      </c>
      <c r="L53" s="500" t="s">
        <v>708</v>
      </c>
      <c r="M53" s="500" t="s">
        <v>708</v>
      </c>
      <c r="N53" s="501">
        <v>3</v>
      </c>
      <c r="O53" s="502" t="s">
        <v>746</v>
      </c>
      <c r="P53" s="504"/>
      <c r="R53" s="504">
        <f t="shared" si="7"/>
        <v>3</v>
      </c>
      <c r="S53" s="504">
        <f t="shared" si="7"/>
        <v>0</v>
      </c>
      <c r="T53" s="504">
        <f t="shared" si="8"/>
        <v>0</v>
      </c>
      <c r="U53" s="504">
        <f t="shared" si="8"/>
        <v>2</v>
      </c>
      <c r="V53" s="504">
        <f t="shared" si="8"/>
        <v>0</v>
      </c>
      <c r="W53" s="504">
        <f t="shared" si="8"/>
        <v>0</v>
      </c>
      <c r="X53" s="504">
        <f t="shared" si="8"/>
        <v>0</v>
      </c>
    </row>
    <row r="54" spans="1:24" s="503" customFormat="1" ht="35.25" customHeight="1" outlineLevel="1" x14ac:dyDescent="0.5">
      <c r="A54" s="481"/>
      <c r="B54" s="481"/>
      <c r="C54" s="505" t="s">
        <v>710</v>
      </c>
      <c r="D54" s="506">
        <f>VLOOKUP(C46,overview_of_services!$B$2:$I$88,8,FALSE)</f>
        <v>0</v>
      </c>
      <c r="E54" s="507"/>
      <c r="F54" s="499"/>
      <c r="G54" s="507"/>
      <c r="H54" s="507"/>
      <c r="I54" s="499"/>
      <c r="J54" s="499"/>
      <c r="K54" s="499"/>
      <c r="L54" s="500"/>
      <c r="M54" s="500"/>
      <c r="N54" s="501"/>
      <c r="O54" s="502"/>
      <c r="P54" s="504"/>
      <c r="R54" s="504">
        <f t="shared" si="7"/>
        <v>0</v>
      </c>
      <c r="S54" s="504">
        <f t="shared" si="7"/>
        <v>0</v>
      </c>
      <c r="T54" s="504">
        <f t="shared" si="8"/>
        <v>0</v>
      </c>
      <c r="U54" s="504">
        <f t="shared" si="8"/>
        <v>0</v>
      </c>
      <c r="V54" s="504">
        <f t="shared" si="8"/>
        <v>0</v>
      </c>
      <c r="W54" s="504">
        <f t="shared" si="8"/>
        <v>0</v>
      </c>
      <c r="X54" s="504">
        <f t="shared" si="8"/>
        <v>0</v>
      </c>
    </row>
    <row r="55" spans="1:24" s="503" customFormat="1" ht="6" customHeight="1" outlineLevel="2" thickBot="1" x14ac:dyDescent="0.4">
      <c r="A55" s="481"/>
      <c r="B55" s="481"/>
      <c r="C55" s="504"/>
      <c r="D55" s="504"/>
      <c r="E55" s="508"/>
      <c r="F55" s="508"/>
      <c r="G55" s="508"/>
      <c r="H55" s="508"/>
      <c r="I55" s="508"/>
      <c r="J55" s="508"/>
      <c r="K55" s="508"/>
      <c r="L55" s="504"/>
      <c r="M55" s="504"/>
      <c r="N55" s="504"/>
      <c r="O55" s="508"/>
      <c r="P55" s="504"/>
    </row>
    <row r="56" spans="1:24" s="503" customFormat="1" ht="30.75" customHeight="1" outlineLevel="2" thickBot="1" x14ac:dyDescent="0.4">
      <c r="A56" s="481"/>
      <c r="B56" s="481"/>
      <c r="C56" s="509"/>
      <c r="D56" s="509" t="s">
        <v>712</v>
      </c>
      <c r="E56" s="510" t="s">
        <v>729</v>
      </c>
      <c r="F56" s="511" t="s">
        <v>729</v>
      </c>
      <c r="G56" s="511" t="s">
        <v>729</v>
      </c>
      <c r="H56" s="511" t="s">
        <v>729</v>
      </c>
      <c r="I56" s="511" t="s">
        <v>729</v>
      </c>
      <c r="J56" s="511" t="s">
        <v>729</v>
      </c>
      <c r="K56" s="511" t="s">
        <v>729</v>
      </c>
      <c r="L56" s="511" t="s">
        <v>729</v>
      </c>
      <c r="M56" s="511" t="s">
        <v>729</v>
      </c>
      <c r="N56" s="511" t="s">
        <v>729</v>
      </c>
      <c r="O56" s="511" t="s">
        <v>729</v>
      </c>
      <c r="P56" s="504"/>
    </row>
    <row r="57" spans="1:24" s="503" customFormat="1" ht="30.75" customHeight="1" outlineLevel="2" thickBot="1" x14ac:dyDescent="0.4">
      <c r="A57" s="481"/>
      <c r="B57" s="481"/>
      <c r="C57" s="509"/>
      <c r="D57" s="509" t="s">
        <v>714</v>
      </c>
      <c r="E57" s="510" t="s">
        <v>30</v>
      </c>
      <c r="F57" s="512"/>
      <c r="G57" s="511"/>
      <c r="H57" s="511"/>
      <c r="I57" s="511"/>
      <c r="J57" s="511"/>
      <c r="K57" s="511"/>
      <c r="L57" s="510"/>
      <c r="M57" s="510"/>
      <c r="N57" s="513"/>
      <c r="O57" s="510"/>
      <c r="P57" s="504"/>
    </row>
    <row r="58" spans="1:24" ht="20.25" customHeight="1" outlineLevel="1" thickBot="1" x14ac:dyDescent="0.4">
      <c r="C58" s="481"/>
      <c r="D58" s="481"/>
      <c r="E58" s="481"/>
      <c r="F58" s="481"/>
      <c r="G58" s="482"/>
      <c r="H58" s="482"/>
      <c r="I58" s="482"/>
      <c r="J58" s="482"/>
      <c r="K58" s="482"/>
      <c r="L58" s="482"/>
      <c r="M58" s="482"/>
      <c r="N58" s="482"/>
      <c r="O58" s="482"/>
      <c r="P58" s="481"/>
    </row>
    <row r="59" spans="1:24" ht="17.25" customHeight="1" thickBot="1" x14ac:dyDescent="0.4">
      <c r="C59" s="483" t="s">
        <v>677</v>
      </c>
      <c r="D59" s="484" t="s">
        <v>678</v>
      </c>
      <c r="E59" s="481"/>
      <c r="F59" s="481"/>
      <c r="G59" s="482"/>
      <c r="H59" s="482"/>
      <c r="I59" s="482"/>
      <c r="J59" s="482"/>
      <c r="K59" s="482"/>
      <c r="L59" s="482"/>
      <c r="M59" s="482"/>
      <c r="N59" s="482"/>
      <c r="O59" s="482"/>
      <c r="P59" s="481"/>
    </row>
    <row r="60" spans="1:24" s="492" customFormat="1" ht="36.75" customHeight="1" thickBot="1" x14ac:dyDescent="0.7">
      <c r="A60" s="481"/>
      <c r="B60" s="486" t="s">
        <v>679</v>
      </c>
      <c r="C60" s="487" t="s">
        <v>170</v>
      </c>
      <c r="D60" s="514" t="str">
        <f>VLOOKUP(C60,overview_of_services!$B$2:$I$88,3,FALSE)</f>
        <v>Control of DHW circulation pump</v>
      </c>
      <c r="E60" s="489"/>
      <c r="F60" s="490" t="s">
        <v>680</v>
      </c>
      <c r="G60" s="578" t="str">
        <f>VLOOKUP(C60,overview_of_services!$B$2:$I$88,2,FALSE)</f>
        <v>DHW control - demand side</v>
      </c>
      <c r="H60" s="578"/>
      <c r="I60" s="490"/>
      <c r="J60" s="491"/>
      <c r="K60" s="491"/>
      <c r="L60" s="491"/>
      <c r="M60" s="491"/>
      <c r="N60" s="491"/>
      <c r="O60" s="491"/>
      <c r="R60" s="492" t="s">
        <v>681</v>
      </c>
      <c r="S60" s="492">
        <f>ROW()</f>
        <v>60</v>
      </c>
    </row>
    <row r="61" spans="1:24" ht="5.25" customHeight="1" x14ac:dyDescent="0.35">
      <c r="C61" s="493"/>
      <c r="D61" s="493"/>
      <c r="E61" s="493"/>
      <c r="F61" s="493"/>
      <c r="G61" s="493"/>
      <c r="H61" s="493"/>
      <c r="I61" s="493"/>
      <c r="J61" s="493"/>
      <c r="K61" s="493"/>
      <c r="L61" s="493"/>
      <c r="M61" s="493"/>
      <c r="N61" s="493"/>
      <c r="O61" s="494"/>
      <c r="P61" s="481"/>
    </row>
    <row r="62" spans="1:24" ht="20.25" customHeight="1" outlineLevel="1" x14ac:dyDescent="0.35">
      <c r="C62" s="575" t="s">
        <v>682</v>
      </c>
      <c r="D62" s="575"/>
      <c r="E62" s="577" t="s">
        <v>683</v>
      </c>
      <c r="F62" s="577"/>
      <c r="G62" s="577"/>
      <c r="H62" s="577"/>
      <c r="I62" s="577"/>
      <c r="J62" s="577"/>
      <c r="K62" s="577"/>
      <c r="L62" s="573" t="s">
        <v>684</v>
      </c>
      <c r="M62" s="574"/>
      <c r="N62" s="569" t="s">
        <v>685</v>
      </c>
      <c r="O62" s="571" t="s">
        <v>686</v>
      </c>
      <c r="P62" s="481"/>
    </row>
    <row r="63" spans="1:24" ht="36.75" customHeight="1" outlineLevel="1" thickBot="1" x14ac:dyDescent="0.4">
      <c r="C63" s="576"/>
      <c r="D63" s="576"/>
      <c r="E63" s="495" t="s">
        <v>687</v>
      </c>
      <c r="F63" s="495" t="s">
        <v>688</v>
      </c>
      <c r="G63" s="495" t="s">
        <v>689</v>
      </c>
      <c r="H63" s="495" t="s">
        <v>690</v>
      </c>
      <c r="I63" s="495" t="s">
        <v>616</v>
      </c>
      <c r="J63" s="495" t="s">
        <v>691</v>
      </c>
      <c r="K63" s="495" t="s">
        <v>692</v>
      </c>
      <c r="L63" s="496" t="s">
        <v>693</v>
      </c>
      <c r="M63" s="496" t="s">
        <v>694</v>
      </c>
      <c r="N63" s="570"/>
      <c r="O63" s="572"/>
      <c r="P63" s="481"/>
    </row>
    <row r="64" spans="1:24" s="503" customFormat="1" ht="35.25" customHeight="1" outlineLevel="1" thickTop="1" x14ac:dyDescent="0.5">
      <c r="A64" s="481"/>
      <c r="B64" s="481"/>
      <c r="C64" s="497" t="s">
        <v>695</v>
      </c>
      <c r="D64" s="498" t="str">
        <f>VLOOKUP(C60,overview_of_services!$B$2:$I$88,4,FALSE)</f>
        <v>No control</v>
      </c>
      <c r="E64" s="499">
        <v>0</v>
      </c>
      <c r="F64" s="499">
        <v>0</v>
      </c>
      <c r="G64" s="499">
        <v>0</v>
      </c>
      <c r="H64" s="499">
        <v>0</v>
      </c>
      <c r="I64" s="499">
        <v>0</v>
      </c>
      <c r="J64" s="499">
        <v>0</v>
      </c>
      <c r="K64" s="499">
        <v>0</v>
      </c>
      <c r="L64" s="500" t="s">
        <v>696</v>
      </c>
      <c r="M64" s="500" t="s">
        <v>696</v>
      </c>
      <c r="N64" s="501">
        <v>0</v>
      </c>
      <c r="O64" s="502" t="s">
        <v>697</v>
      </c>
      <c r="P64" s="504"/>
      <c r="R64" s="504">
        <f t="shared" ref="R64:S68" si="9">IF(E64=0,0,(IF(E64="+",1,(IF(E64="++",2,(IF(E64="+++",3,(IF(E64="++++",4,(IF(E64="-",-1,(IF(E64="--",-2,(IF(E64="---",-3,(IF(E64="----",-4,"NA")))))))))))))))))</f>
        <v>0</v>
      </c>
      <c r="S64" s="504">
        <f t="shared" si="9"/>
        <v>0</v>
      </c>
      <c r="T64" s="504">
        <f t="shared" ref="T64:X68" si="10">IF(G64=0,0,(IF(G64="+",1,(IF(G64="++",2,(IF(G64="+++",3,(IF(G64="++++",4,(IF(G64="-",-1,(IF(G64="--",-2,(IF(G64="---",-3,(IF(G64="----",-4,"NA")))))))))))))))))</f>
        <v>0</v>
      </c>
      <c r="U64" s="504">
        <f t="shared" si="10"/>
        <v>0</v>
      </c>
      <c r="V64" s="504">
        <f t="shared" si="10"/>
        <v>0</v>
      </c>
      <c r="W64" s="504">
        <f t="shared" si="10"/>
        <v>0</v>
      </c>
      <c r="X64" s="504">
        <f t="shared" si="10"/>
        <v>0</v>
      </c>
    </row>
    <row r="65" spans="1:24" s="503" customFormat="1" ht="35.25" customHeight="1" outlineLevel="1" x14ac:dyDescent="0.5">
      <c r="A65" s="481"/>
      <c r="B65" s="481"/>
      <c r="C65" s="505" t="s">
        <v>699</v>
      </c>
      <c r="D65" s="506" t="str">
        <f>VLOOKUP(C60,overview_of_services!$B$2:$I$88,5,FALSE)</f>
        <v>Control with time switch program</v>
      </c>
      <c r="E65" s="499" t="s">
        <v>700</v>
      </c>
      <c r="F65" s="499">
        <v>0</v>
      </c>
      <c r="G65" s="499">
        <v>0</v>
      </c>
      <c r="H65" s="499" t="s">
        <v>700</v>
      </c>
      <c r="I65" s="499">
        <v>0</v>
      </c>
      <c r="J65" s="499">
        <v>0</v>
      </c>
      <c r="K65" s="499">
        <v>0</v>
      </c>
      <c r="L65" s="500" t="s">
        <v>718</v>
      </c>
      <c r="M65" s="500" t="s">
        <v>718</v>
      </c>
      <c r="N65" s="501">
        <v>1</v>
      </c>
      <c r="O65" s="502" t="s">
        <v>747</v>
      </c>
      <c r="P65" s="504"/>
      <c r="R65" s="504">
        <f t="shared" si="9"/>
        <v>1</v>
      </c>
      <c r="S65" s="504">
        <f t="shared" si="9"/>
        <v>0</v>
      </c>
      <c r="T65" s="504">
        <f t="shared" si="10"/>
        <v>0</v>
      </c>
      <c r="U65" s="504">
        <f t="shared" si="10"/>
        <v>1</v>
      </c>
      <c r="V65" s="504">
        <f t="shared" si="10"/>
        <v>0</v>
      </c>
      <c r="W65" s="504">
        <f t="shared" si="10"/>
        <v>0</v>
      </c>
      <c r="X65" s="504">
        <f t="shared" si="10"/>
        <v>0</v>
      </c>
    </row>
    <row r="66" spans="1:24" s="503" customFormat="1" ht="43.5" outlineLevel="1" x14ac:dyDescent="0.5">
      <c r="A66" s="481"/>
      <c r="B66" s="481"/>
      <c r="C66" s="505" t="s">
        <v>703</v>
      </c>
      <c r="D66" s="506" t="str">
        <f>VLOOKUP(C60,overview_of_services!$B$2:$I$88,6,FALSE)</f>
        <v>Demand-oriented control</v>
      </c>
      <c r="E66" s="507" t="s">
        <v>704</v>
      </c>
      <c r="F66" s="499">
        <v>0</v>
      </c>
      <c r="G66" s="499">
        <v>0</v>
      </c>
      <c r="H66" s="507" t="s">
        <v>704</v>
      </c>
      <c r="I66" s="499">
        <v>0</v>
      </c>
      <c r="J66" s="499">
        <v>0</v>
      </c>
      <c r="K66" s="499">
        <v>0</v>
      </c>
      <c r="L66" s="500" t="s">
        <v>708</v>
      </c>
      <c r="M66" s="500" t="s">
        <v>708</v>
      </c>
      <c r="N66" s="501">
        <v>2</v>
      </c>
      <c r="O66" s="502" t="s">
        <v>748</v>
      </c>
      <c r="P66" s="504"/>
      <c r="R66" s="504">
        <f t="shared" si="9"/>
        <v>2</v>
      </c>
      <c r="S66" s="504">
        <f t="shared" si="9"/>
        <v>0</v>
      </c>
      <c r="T66" s="504">
        <f t="shared" si="10"/>
        <v>0</v>
      </c>
      <c r="U66" s="504">
        <f t="shared" si="10"/>
        <v>2</v>
      </c>
      <c r="V66" s="504">
        <f t="shared" si="10"/>
        <v>0</v>
      </c>
      <c r="W66" s="504">
        <f t="shared" si="10"/>
        <v>0</v>
      </c>
      <c r="X66" s="504">
        <f t="shared" si="10"/>
        <v>0</v>
      </c>
    </row>
    <row r="67" spans="1:24" s="503" customFormat="1" ht="35.25" customHeight="1" outlineLevel="1" x14ac:dyDescent="0.5">
      <c r="A67" s="481"/>
      <c r="B67" s="481"/>
      <c r="C67" s="505" t="s">
        <v>706</v>
      </c>
      <c r="D67" s="506">
        <f>VLOOKUP(C60,overview_of_services!$B$2:$I$88,7,FALSE)</f>
        <v>0</v>
      </c>
      <c r="E67" s="499"/>
      <c r="F67" s="499"/>
      <c r="G67" s="499"/>
      <c r="H67" s="499"/>
      <c r="I67" s="499"/>
      <c r="J67" s="499"/>
      <c r="K67" s="499"/>
      <c r="L67" s="500" t="s">
        <v>721</v>
      </c>
      <c r="M67" s="500"/>
      <c r="N67" s="501" t="s">
        <v>721</v>
      </c>
      <c r="O67" s="502" t="s">
        <v>721</v>
      </c>
      <c r="P67" s="504"/>
      <c r="R67" s="504">
        <f t="shared" si="9"/>
        <v>0</v>
      </c>
      <c r="S67" s="504">
        <f t="shared" si="9"/>
        <v>0</v>
      </c>
      <c r="T67" s="504">
        <f t="shared" si="10"/>
        <v>0</v>
      </c>
      <c r="U67" s="504">
        <f t="shared" si="10"/>
        <v>0</v>
      </c>
      <c r="V67" s="504">
        <f t="shared" si="10"/>
        <v>0</v>
      </c>
      <c r="W67" s="504">
        <f t="shared" si="10"/>
        <v>0</v>
      </c>
      <c r="X67" s="504">
        <f t="shared" si="10"/>
        <v>0</v>
      </c>
    </row>
    <row r="68" spans="1:24" s="503" customFormat="1" ht="35.25" customHeight="1" outlineLevel="1" x14ac:dyDescent="0.5">
      <c r="A68" s="481"/>
      <c r="B68" s="481"/>
      <c r="C68" s="505" t="s">
        <v>710</v>
      </c>
      <c r="D68" s="506">
        <f>VLOOKUP(C60,overview_of_services!$B$2:$I$88,8,FALSE)</f>
        <v>0</v>
      </c>
      <c r="E68" s="507"/>
      <c r="F68" s="499"/>
      <c r="G68" s="507"/>
      <c r="H68" s="507"/>
      <c r="I68" s="499"/>
      <c r="J68" s="499"/>
      <c r="K68" s="499"/>
      <c r="L68" s="500"/>
      <c r="M68" s="500"/>
      <c r="N68" s="501"/>
      <c r="O68" s="502"/>
      <c r="P68" s="504"/>
      <c r="R68" s="504">
        <f t="shared" si="9"/>
        <v>0</v>
      </c>
      <c r="S68" s="504">
        <f t="shared" si="9"/>
        <v>0</v>
      </c>
      <c r="T68" s="504">
        <f t="shared" si="10"/>
        <v>0</v>
      </c>
      <c r="U68" s="504">
        <f t="shared" si="10"/>
        <v>0</v>
      </c>
      <c r="V68" s="504">
        <f t="shared" si="10"/>
        <v>0</v>
      </c>
      <c r="W68" s="504">
        <f t="shared" si="10"/>
        <v>0</v>
      </c>
      <c r="X68" s="504">
        <f t="shared" si="10"/>
        <v>0</v>
      </c>
    </row>
    <row r="69" spans="1:24" s="503" customFormat="1" ht="6" customHeight="1" outlineLevel="2" thickBot="1" x14ac:dyDescent="0.4">
      <c r="A69" s="481"/>
      <c r="B69" s="481"/>
      <c r="C69" s="504"/>
      <c r="D69" s="504"/>
      <c r="E69" s="508"/>
      <c r="F69" s="508"/>
      <c r="G69" s="508"/>
      <c r="H69" s="508"/>
      <c r="I69" s="508"/>
      <c r="J69" s="508"/>
      <c r="K69" s="508"/>
      <c r="L69" s="504"/>
      <c r="M69" s="504"/>
      <c r="N69" s="504"/>
      <c r="O69" s="508"/>
      <c r="P69" s="504"/>
    </row>
    <row r="70" spans="1:24" s="503" customFormat="1" ht="30.75" customHeight="1" outlineLevel="2" thickBot="1" x14ac:dyDescent="0.4">
      <c r="A70" s="481"/>
      <c r="B70" s="481"/>
      <c r="C70" s="509"/>
      <c r="D70" s="509" t="s">
        <v>712</v>
      </c>
      <c r="E70" s="510" t="s">
        <v>729</v>
      </c>
      <c r="F70" s="511" t="s">
        <v>729</v>
      </c>
      <c r="G70" s="511" t="s">
        <v>729</v>
      </c>
      <c r="H70" s="511" t="s">
        <v>729</v>
      </c>
      <c r="I70" s="511" t="s">
        <v>729</v>
      </c>
      <c r="J70" s="511" t="s">
        <v>729</v>
      </c>
      <c r="K70" s="511" t="s">
        <v>729</v>
      </c>
      <c r="L70" s="511" t="s">
        <v>729</v>
      </c>
      <c r="M70" s="511" t="s">
        <v>729</v>
      </c>
      <c r="N70" s="511" t="s">
        <v>729</v>
      </c>
      <c r="O70" s="511" t="s">
        <v>729</v>
      </c>
      <c r="P70" s="504"/>
    </row>
    <row r="71" spans="1:24" s="503" customFormat="1" ht="30.75" customHeight="1" outlineLevel="2" thickBot="1" x14ac:dyDescent="0.4">
      <c r="A71" s="481"/>
      <c r="B71" s="481"/>
      <c r="C71" s="509"/>
      <c r="D71" s="509" t="s">
        <v>714</v>
      </c>
      <c r="E71" s="510" t="s">
        <v>30</v>
      </c>
      <c r="F71" s="512"/>
      <c r="G71" s="511"/>
      <c r="H71" s="511"/>
      <c r="I71" s="511"/>
      <c r="J71" s="511"/>
      <c r="K71" s="511"/>
      <c r="L71" s="510"/>
      <c r="M71" s="510"/>
      <c r="N71" s="513"/>
      <c r="O71" s="510"/>
      <c r="P71" s="504"/>
    </row>
    <row r="72" spans="1:24" ht="20.25" customHeight="1" outlineLevel="1" thickBot="1" x14ac:dyDescent="0.4">
      <c r="C72" s="481"/>
      <c r="D72" s="481"/>
      <c r="E72" s="481"/>
      <c r="F72" s="481"/>
      <c r="G72" s="482"/>
      <c r="H72" s="482"/>
      <c r="I72" s="482"/>
      <c r="J72" s="482"/>
      <c r="K72" s="482"/>
      <c r="L72" s="482"/>
      <c r="M72" s="482"/>
      <c r="N72" s="482"/>
      <c r="O72" s="482"/>
      <c r="P72" s="481"/>
    </row>
    <row r="73" spans="1:24" ht="17.25" customHeight="1" thickBot="1" x14ac:dyDescent="0.4">
      <c r="C73" s="483" t="s">
        <v>677</v>
      </c>
      <c r="D73" s="484" t="s">
        <v>678</v>
      </c>
      <c r="E73" s="481"/>
      <c r="F73" s="481"/>
      <c r="G73" s="482"/>
      <c r="H73" s="482"/>
      <c r="I73" s="482"/>
      <c r="J73" s="482"/>
      <c r="K73" s="482"/>
      <c r="L73" s="482"/>
      <c r="M73" s="482"/>
      <c r="N73" s="482"/>
      <c r="O73" s="482"/>
      <c r="P73" s="481"/>
    </row>
    <row r="74" spans="1:24" s="492" customFormat="1" ht="36.75" customHeight="1" thickBot="1" x14ac:dyDescent="0.7">
      <c r="A74" s="481"/>
      <c r="B74" s="486" t="s">
        <v>679</v>
      </c>
      <c r="C74" s="487" t="s">
        <v>178</v>
      </c>
      <c r="D74" s="514" t="str">
        <f>VLOOKUP(C74,overview_of_services!$B$2:$I$88,3,FALSE)</f>
        <v>Report information regarding domestic hot water performance</v>
      </c>
      <c r="E74" s="489"/>
      <c r="F74" s="490" t="s">
        <v>680</v>
      </c>
      <c r="G74" s="578" t="str">
        <f>VLOOKUP(C74,overview_of_services!$B$2:$I$88,2,FALSE)</f>
        <v>Information to occupants and facility managers</v>
      </c>
      <c r="H74" s="578"/>
      <c r="I74" s="490"/>
      <c r="J74" s="491"/>
      <c r="K74" s="491"/>
      <c r="L74" s="491"/>
      <c r="M74" s="491"/>
      <c r="N74" s="491"/>
      <c r="O74" s="491"/>
      <c r="R74" s="492" t="s">
        <v>681</v>
      </c>
      <c r="S74" s="492">
        <f>ROW()</f>
        <v>74</v>
      </c>
    </row>
    <row r="75" spans="1:24" ht="5.25" customHeight="1" x14ac:dyDescent="0.35">
      <c r="C75" s="493"/>
      <c r="D75" s="493"/>
      <c r="E75" s="493"/>
      <c r="F75" s="493"/>
      <c r="G75" s="493"/>
      <c r="H75" s="493"/>
      <c r="I75" s="493"/>
      <c r="J75" s="493"/>
      <c r="K75" s="493"/>
      <c r="L75" s="493"/>
      <c r="M75" s="493"/>
      <c r="N75" s="493"/>
      <c r="O75" s="494"/>
      <c r="P75" s="481"/>
    </row>
    <row r="76" spans="1:24" ht="20.25" customHeight="1" outlineLevel="1" x14ac:dyDescent="0.35">
      <c r="C76" s="575" t="s">
        <v>682</v>
      </c>
      <c r="D76" s="575"/>
      <c r="E76" s="577" t="s">
        <v>683</v>
      </c>
      <c r="F76" s="577"/>
      <c r="G76" s="577"/>
      <c r="H76" s="577"/>
      <c r="I76" s="577"/>
      <c r="J76" s="577"/>
      <c r="K76" s="577"/>
      <c r="L76" s="573" t="s">
        <v>684</v>
      </c>
      <c r="M76" s="574"/>
      <c r="N76" s="569" t="s">
        <v>685</v>
      </c>
      <c r="O76" s="571" t="s">
        <v>686</v>
      </c>
      <c r="P76" s="481"/>
    </row>
    <row r="77" spans="1:24" ht="36.75" customHeight="1" outlineLevel="1" thickBot="1" x14ac:dyDescent="0.4">
      <c r="C77" s="576"/>
      <c r="D77" s="576"/>
      <c r="E77" s="495" t="s">
        <v>687</v>
      </c>
      <c r="F77" s="495" t="s">
        <v>688</v>
      </c>
      <c r="G77" s="495" t="s">
        <v>689</v>
      </c>
      <c r="H77" s="495" t="s">
        <v>690</v>
      </c>
      <c r="I77" s="495" t="s">
        <v>616</v>
      </c>
      <c r="J77" s="495" t="s">
        <v>691</v>
      </c>
      <c r="K77" s="495" t="s">
        <v>692</v>
      </c>
      <c r="L77" s="496" t="s">
        <v>693</v>
      </c>
      <c r="M77" s="496" t="s">
        <v>694</v>
      </c>
      <c r="N77" s="570"/>
      <c r="O77" s="572"/>
      <c r="P77" s="481"/>
    </row>
    <row r="78" spans="1:24" s="503" customFormat="1" ht="35.25" customHeight="1" outlineLevel="1" thickTop="1" x14ac:dyDescent="0.5">
      <c r="A78" s="481"/>
      <c r="B78" s="481"/>
      <c r="C78" s="497" t="s">
        <v>695</v>
      </c>
      <c r="D78" s="498" t="str">
        <f>VLOOKUP(C74,overview_of_services!$B$2:$I$88,4,FALSE)</f>
        <v>None</v>
      </c>
      <c r="E78" s="499">
        <v>0</v>
      </c>
      <c r="F78" s="499">
        <v>0</v>
      </c>
      <c r="G78" s="499">
        <v>0</v>
      </c>
      <c r="H78" s="499">
        <v>0</v>
      </c>
      <c r="I78" s="499">
        <v>0</v>
      </c>
      <c r="J78" s="499">
        <v>0</v>
      </c>
      <c r="K78" s="499">
        <v>0</v>
      </c>
      <c r="L78" s="500" t="s">
        <v>696</v>
      </c>
      <c r="M78" s="500" t="s">
        <v>696</v>
      </c>
      <c r="N78" s="501">
        <v>0</v>
      </c>
      <c r="O78" s="502" t="s">
        <v>721</v>
      </c>
      <c r="P78" s="504"/>
      <c r="R78" s="504">
        <f>IF(E78=0,0,(IF(E78="+",1,(IF(E78="++",2,(IF(E78="+++",3,(IF(E78="++++",4,(IF(E78="-",-1,(IF(E78="--",-2,(IF(E78="---",-3,(IF(E78="----",-4,"NA")))))))))))))))))</f>
        <v>0</v>
      </c>
      <c r="S78" s="504">
        <f>IF(F78=0,0,(IF(F78="+",1,(IF(F78="++",2,(IF(F78="+++",3,(IF(F78="++++",4,(IF(F78="-",-1,(IF(F78="--",-2,(IF(F78="---",-3,(IF(F78="----",-4,"NA")))))))))))))))))</f>
        <v>0</v>
      </c>
      <c r="T78" s="504">
        <f t="shared" ref="T78:X82" si="11">IF(G78=0,0,(IF(G78="+",1,(IF(G78="++",2,(IF(G78="+++",3,(IF(G78="++++",4,(IF(G78="-",-1,(IF(G78="--",-2,(IF(G78="---",-3,(IF(G78="----",-4,"NA")))))))))))))))))</f>
        <v>0</v>
      </c>
      <c r="U78" s="504">
        <f t="shared" si="11"/>
        <v>0</v>
      </c>
      <c r="V78" s="504">
        <f t="shared" si="11"/>
        <v>0</v>
      </c>
      <c r="W78" s="504">
        <f t="shared" si="11"/>
        <v>0</v>
      </c>
      <c r="X78" s="504">
        <f t="shared" si="11"/>
        <v>0</v>
      </c>
    </row>
    <row r="79" spans="1:24" s="503" customFormat="1" ht="35.25" customHeight="1" outlineLevel="1" x14ac:dyDescent="0.5">
      <c r="A79" s="481"/>
      <c r="B79" s="481"/>
      <c r="C79" s="505" t="s">
        <v>699</v>
      </c>
      <c r="D79" s="506" t="str">
        <f>VLOOKUP(C74,overview_of_services!$B$2:$I$88,5,FALSE)</f>
        <v>Indication of actual values (e.g. temperatures, submetering energy usage)</v>
      </c>
      <c r="E79" s="507" t="s">
        <v>700</v>
      </c>
      <c r="F79" s="499">
        <v>0</v>
      </c>
      <c r="G79" s="499">
        <v>0</v>
      </c>
      <c r="H79" s="499">
        <v>0</v>
      </c>
      <c r="I79" s="499">
        <v>0</v>
      </c>
      <c r="J79" s="507" t="s">
        <v>700</v>
      </c>
      <c r="K79" s="507" t="s">
        <v>700</v>
      </c>
      <c r="L79" s="500" t="s">
        <v>718</v>
      </c>
      <c r="M79" s="500" t="s">
        <v>718</v>
      </c>
      <c r="N79" s="501">
        <v>2</v>
      </c>
      <c r="O79" s="502" t="s">
        <v>721</v>
      </c>
      <c r="P79" s="504"/>
      <c r="R79" s="504">
        <f t="shared" ref="R79:R82" si="12">IF(E79=0,0,(IF(E79="+",1,(IF(E79="++",2,(IF(E79="+++",3,(IF(E79="++++",4,(IF(E79="-",-1,(IF(E79="--",-2,(IF(E79="---",-3,(IF(E79="----",-4,"NA")))))))))))))))))</f>
        <v>1</v>
      </c>
      <c r="S79" s="504">
        <f>IF(F79=0,0,(IF(F79="+",1,(IF(F79="++",2,(IF(F79="+++",3,(IF(F79="++++",4,(IF(F79="-",-1,(IF(F79="--",-2,(IF(F79="---",-3,(IF(F79="----",-4,"NA")))))))))))))))))</f>
        <v>0</v>
      </c>
      <c r="T79" s="504">
        <f t="shared" si="11"/>
        <v>0</v>
      </c>
      <c r="U79" s="504">
        <f t="shared" si="11"/>
        <v>0</v>
      </c>
      <c r="V79" s="504">
        <f t="shared" si="11"/>
        <v>0</v>
      </c>
      <c r="W79" s="504">
        <f t="shared" si="11"/>
        <v>1</v>
      </c>
      <c r="X79" s="504">
        <f t="shared" si="11"/>
        <v>1</v>
      </c>
    </row>
    <row r="80" spans="1:24" s="503" customFormat="1" ht="35.25" customHeight="1" outlineLevel="1" x14ac:dyDescent="0.5">
      <c r="A80" s="481"/>
      <c r="B80" s="481"/>
      <c r="C80" s="505" t="s">
        <v>703</v>
      </c>
      <c r="D80" s="506" t="str">
        <f>VLOOKUP(C74,overview_of_services!$B$2:$I$88,6,FALSE)</f>
        <v>Actual values and historical data</v>
      </c>
      <c r="E80" s="499" t="s">
        <v>700</v>
      </c>
      <c r="F80" s="499">
        <v>0</v>
      </c>
      <c r="G80" s="499">
        <v>0</v>
      </c>
      <c r="H80" s="499">
        <v>0</v>
      </c>
      <c r="I80" s="499">
        <v>0</v>
      </c>
      <c r="J80" s="507" t="s">
        <v>700</v>
      </c>
      <c r="K80" s="507" t="s">
        <v>704</v>
      </c>
      <c r="L80" s="500" t="s">
        <v>708</v>
      </c>
      <c r="M80" s="500" t="s">
        <v>708</v>
      </c>
      <c r="N80" s="501">
        <v>3</v>
      </c>
      <c r="O80" s="502" t="s">
        <v>721</v>
      </c>
      <c r="P80" s="504"/>
      <c r="R80" s="504">
        <f t="shared" si="12"/>
        <v>1</v>
      </c>
      <c r="S80" s="504">
        <f>IF(F80=0,0,(IF(F80="+",1,(IF(F80="++",2,(IF(F80="+++",3,(IF(F80="++++",4,(IF(F80="-",-1,(IF(F80="--",-2,(IF(F80="---",-3,(IF(F80="----",-4,"NA")))))))))))))))))</f>
        <v>0</v>
      </c>
      <c r="T80" s="504">
        <f t="shared" si="11"/>
        <v>0</v>
      </c>
      <c r="U80" s="504">
        <f t="shared" si="11"/>
        <v>0</v>
      </c>
      <c r="V80" s="504">
        <f t="shared" si="11"/>
        <v>0</v>
      </c>
      <c r="W80" s="504">
        <f t="shared" si="11"/>
        <v>1</v>
      </c>
      <c r="X80" s="504">
        <f t="shared" si="11"/>
        <v>2</v>
      </c>
    </row>
    <row r="81" spans="1:25" s="503" customFormat="1" ht="35.25" customHeight="1" outlineLevel="1" x14ac:dyDescent="0.5">
      <c r="A81" s="481"/>
      <c r="B81" s="481"/>
      <c r="C81" s="505" t="s">
        <v>706</v>
      </c>
      <c r="D81" s="506" t="str">
        <f>VLOOKUP(C74,overview_of_services!$B$2:$I$88,7,FALSE)</f>
        <v>Performance evaluation including forecasting and/or benchmarking</v>
      </c>
      <c r="E81" s="507" t="s">
        <v>700</v>
      </c>
      <c r="F81" s="499">
        <v>0</v>
      </c>
      <c r="G81" s="499">
        <v>0</v>
      </c>
      <c r="H81" s="499">
        <v>0</v>
      </c>
      <c r="I81" s="499">
        <v>0</v>
      </c>
      <c r="J81" s="507" t="s">
        <v>700</v>
      </c>
      <c r="K81" s="507" t="s">
        <v>707</v>
      </c>
      <c r="L81" s="500" t="s">
        <v>708</v>
      </c>
      <c r="M81" s="500" t="s">
        <v>708</v>
      </c>
      <c r="N81" s="501">
        <v>5</v>
      </c>
      <c r="O81" s="502" t="s">
        <v>721</v>
      </c>
      <c r="P81" s="504"/>
      <c r="R81" s="504">
        <f t="shared" si="12"/>
        <v>1</v>
      </c>
      <c r="S81" s="504">
        <f>IF(F81=0,0,(IF(F81="+",1,(IF(F81="++",2,(IF(F81="+++",3,(IF(F81="++++",4,(IF(F81="-",-1,(IF(F81="--",-2,(IF(F81="---",-3,(IF(F81="----",-4,"NA")))))))))))))))))</f>
        <v>0</v>
      </c>
      <c r="T81" s="504">
        <f t="shared" si="11"/>
        <v>0</v>
      </c>
      <c r="U81" s="504">
        <f t="shared" si="11"/>
        <v>0</v>
      </c>
      <c r="V81" s="504">
        <f t="shared" si="11"/>
        <v>0</v>
      </c>
      <c r="W81" s="504">
        <f t="shared" si="11"/>
        <v>1</v>
      </c>
      <c r="X81" s="504">
        <f t="shared" si="11"/>
        <v>3</v>
      </c>
    </row>
    <row r="82" spans="1:25" s="503" customFormat="1" ht="29" outlineLevel="1" x14ac:dyDescent="0.5">
      <c r="A82" s="481"/>
      <c r="B82" s="481"/>
      <c r="C82" s="505" t="s">
        <v>710</v>
      </c>
      <c r="D82" s="506" t="str">
        <f>VLOOKUP(C74,overview_of_services!$B$2:$I$88,8,FALSE)</f>
        <v>Performance evaluation including forecasting and/or benchmarking; also including predictive management and fault detection</v>
      </c>
      <c r="E82" s="507" t="s">
        <v>700</v>
      </c>
      <c r="F82" s="499">
        <v>0</v>
      </c>
      <c r="G82" s="499">
        <v>0</v>
      </c>
      <c r="H82" s="499" t="s">
        <v>700</v>
      </c>
      <c r="I82" s="499">
        <v>0</v>
      </c>
      <c r="J82" s="507" t="s">
        <v>704</v>
      </c>
      <c r="K82" s="507" t="s">
        <v>707</v>
      </c>
      <c r="L82" s="500" t="s">
        <v>708</v>
      </c>
      <c r="M82" s="500" t="s">
        <v>708</v>
      </c>
      <c r="N82" s="501">
        <v>7</v>
      </c>
      <c r="O82" s="502" t="s">
        <v>721</v>
      </c>
      <c r="P82" s="504"/>
      <c r="R82" s="504">
        <f t="shared" si="12"/>
        <v>1</v>
      </c>
      <c r="S82" s="504">
        <f>IF(F82=0,0,(IF(F82="+",1,(IF(F82="++",2,(IF(F82="+++",3,(IF(F82="++++",4,(IF(F82="-",-1,(IF(F82="--",-2,(IF(F82="---",-3,(IF(F82="----",-4,"NA")))))))))))))))))</f>
        <v>0</v>
      </c>
      <c r="T82" s="504">
        <f t="shared" si="11"/>
        <v>0</v>
      </c>
      <c r="U82" s="504">
        <f t="shared" si="11"/>
        <v>1</v>
      </c>
      <c r="V82" s="504">
        <f t="shared" si="11"/>
        <v>0</v>
      </c>
      <c r="W82" s="504">
        <f t="shared" si="11"/>
        <v>2</v>
      </c>
      <c r="X82" s="504">
        <f t="shared" si="11"/>
        <v>3</v>
      </c>
    </row>
    <row r="83" spans="1:25" s="503" customFormat="1" ht="6" customHeight="1" outlineLevel="2" thickBot="1" x14ac:dyDescent="0.4">
      <c r="A83" s="481"/>
      <c r="B83" s="481"/>
      <c r="C83" s="504"/>
      <c r="D83" s="504"/>
      <c r="E83" s="508"/>
      <c r="F83" s="508"/>
      <c r="G83" s="508"/>
      <c r="H83" s="508"/>
      <c r="I83" s="508"/>
      <c r="J83" s="508"/>
      <c r="K83" s="508"/>
      <c r="L83" s="504"/>
      <c r="M83" s="504"/>
      <c r="N83" s="504"/>
      <c r="O83" s="508"/>
      <c r="P83" s="504"/>
    </row>
    <row r="84" spans="1:25" s="503" customFormat="1" ht="30.75" customHeight="1" outlineLevel="2" thickBot="1" x14ac:dyDescent="0.4">
      <c r="A84" s="481"/>
      <c r="B84" s="481"/>
      <c r="C84" s="509"/>
      <c r="D84" s="509" t="s">
        <v>712</v>
      </c>
      <c r="E84" s="510" t="s">
        <v>729</v>
      </c>
      <c r="F84" s="511" t="s">
        <v>729</v>
      </c>
      <c r="G84" s="511" t="s">
        <v>729</v>
      </c>
      <c r="H84" s="511" t="s">
        <v>729</v>
      </c>
      <c r="I84" s="511" t="s">
        <v>729</v>
      </c>
      <c r="J84" s="511" t="s">
        <v>729</v>
      </c>
      <c r="K84" s="511" t="s">
        <v>729</v>
      </c>
      <c r="L84" s="511" t="s">
        <v>729</v>
      </c>
      <c r="M84" s="511" t="s">
        <v>729</v>
      </c>
      <c r="N84" s="511" t="s">
        <v>729</v>
      </c>
      <c r="O84" s="511" t="s">
        <v>729</v>
      </c>
      <c r="P84" s="504"/>
    </row>
    <row r="85" spans="1:25" s="503" customFormat="1" ht="30.75" customHeight="1" outlineLevel="2" thickBot="1" x14ac:dyDescent="0.4">
      <c r="A85" s="481"/>
      <c r="B85" s="481"/>
      <c r="C85" s="509"/>
      <c r="D85" s="509" t="s">
        <v>714</v>
      </c>
      <c r="E85" s="510"/>
      <c r="F85" s="512"/>
      <c r="G85" s="511"/>
      <c r="H85" s="511"/>
      <c r="I85" s="511"/>
      <c r="J85" s="511"/>
      <c r="K85" s="511"/>
      <c r="L85" s="510"/>
      <c r="M85" s="510"/>
      <c r="N85" s="513"/>
      <c r="O85" s="510"/>
      <c r="P85" s="504"/>
    </row>
    <row r="86" spans="1:25" ht="15" thickBot="1" x14ac:dyDescent="0.4">
      <c r="C86" s="481"/>
      <c r="D86" s="481"/>
      <c r="E86" s="481"/>
      <c r="F86" s="481"/>
      <c r="G86" s="482"/>
      <c r="H86" s="482"/>
      <c r="I86" s="482"/>
      <c r="J86" s="482"/>
      <c r="K86" s="482"/>
      <c r="L86" s="482"/>
      <c r="M86" s="482"/>
      <c r="N86" s="482"/>
      <c r="O86" s="482"/>
    </row>
    <row r="87" spans="1:25" ht="15" thickBot="1" x14ac:dyDescent="0.4">
      <c r="C87" s="483" t="s">
        <v>677</v>
      </c>
      <c r="D87" s="484" t="s">
        <v>678</v>
      </c>
      <c r="E87" s="481"/>
      <c r="F87" s="481"/>
      <c r="G87" s="482"/>
      <c r="H87" s="482"/>
      <c r="I87" s="482"/>
      <c r="J87" s="482"/>
      <c r="K87" s="482"/>
      <c r="L87" s="482"/>
      <c r="M87" s="482"/>
      <c r="N87" s="482"/>
      <c r="O87" s="482"/>
    </row>
    <row r="88" spans="1:25" ht="16" thickBot="1" x14ac:dyDescent="0.4">
      <c r="C88" s="487" t="s">
        <v>180</v>
      </c>
      <c r="D88" s="514" t="str">
        <f>VLOOKUP(C88,overview_of_services!$B$2:$I$88,3,FALSE)</f>
        <v>DSM control of equipment</v>
      </c>
      <c r="E88" s="489"/>
      <c r="F88" s="490" t="s">
        <v>680</v>
      </c>
      <c r="G88" s="578" t="str">
        <f>VLOOKUP(C88,overview_of_services!$B$2:$I$88,2,FALSE)</f>
        <v>DSM control of equipment</v>
      </c>
      <c r="H88" s="578"/>
      <c r="I88" s="490"/>
      <c r="J88" s="491"/>
      <c r="K88" s="491"/>
      <c r="L88" s="491"/>
      <c r="M88" s="491"/>
      <c r="N88" s="491"/>
      <c r="O88" s="491"/>
      <c r="P88" s="492"/>
      <c r="Q88" s="492"/>
      <c r="R88" s="492" t="s">
        <v>681</v>
      </c>
      <c r="S88" s="492">
        <f>ROW()</f>
        <v>88</v>
      </c>
      <c r="T88" s="492"/>
      <c r="U88" s="492"/>
      <c r="V88" s="492"/>
      <c r="W88" s="492"/>
      <c r="X88" s="492"/>
      <c r="Y88" s="492"/>
    </row>
    <row r="89" spans="1:25" x14ac:dyDescent="0.35">
      <c r="C89" s="493"/>
      <c r="D89" s="493"/>
      <c r="E89" s="493"/>
      <c r="F89" s="493"/>
      <c r="G89" s="493"/>
      <c r="H89" s="493"/>
      <c r="I89" s="493"/>
      <c r="J89" s="493"/>
      <c r="K89" s="493"/>
      <c r="L89" s="493"/>
      <c r="M89" s="493"/>
      <c r="N89" s="493"/>
      <c r="O89" s="494"/>
      <c r="P89" s="481"/>
    </row>
    <row r="90" spans="1:25" ht="14.5" customHeight="1" x14ac:dyDescent="0.35">
      <c r="C90" s="575" t="s">
        <v>682</v>
      </c>
      <c r="D90" s="575"/>
      <c r="E90" s="577" t="s">
        <v>683</v>
      </c>
      <c r="F90" s="577"/>
      <c r="G90" s="577"/>
      <c r="H90" s="577"/>
      <c r="I90" s="577"/>
      <c r="J90" s="577"/>
      <c r="K90" s="577"/>
      <c r="L90" s="573" t="s">
        <v>684</v>
      </c>
      <c r="M90" s="574"/>
      <c r="N90" s="569" t="s">
        <v>685</v>
      </c>
      <c r="O90" s="571" t="s">
        <v>686</v>
      </c>
      <c r="P90" s="481"/>
    </row>
    <row r="91" spans="1:25" ht="29.5" thickBot="1" x14ac:dyDescent="0.4">
      <c r="C91" s="576"/>
      <c r="D91" s="576"/>
      <c r="E91" s="495" t="s">
        <v>687</v>
      </c>
      <c r="F91" s="495" t="s">
        <v>688</v>
      </c>
      <c r="G91" s="495" t="s">
        <v>689</v>
      </c>
      <c r="H91" s="495" t="s">
        <v>690</v>
      </c>
      <c r="I91" s="495" t="s">
        <v>616</v>
      </c>
      <c r="J91" s="495" t="s">
        <v>691</v>
      </c>
      <c r="K91" s="495" t="s">
        <v>692</v>
      </c>
      <c r="L91" s="496" t="s">
        <v>693</v>
      </c>
      <c r="M91" s="496" t="s">
        <v>694</v>
      </c>
      <c r="N91" s="570"/>
      <c r="O91" s="572"/>
      <c r="P91" s="481"/>
    </row>
    <row r="92" spans="1:25" ht="21.5" thickTop="1" x14ac:dyDescent="0.5">
      <c r="C92" s="497" t="s">
        <v>695</v>
      </c>
      <c r="D92" s="498" t="str">
        <f>VLOOKUP(C88,overview_of_services!$B$2:$I$88,4,FALSE)</f>
        <v>Not present</v>
      </c>
      <c r="E92" s="499">
        <v>0</v>
      </c>
      <c r="F92" s="499">
        <v>0</v>
      </c>
      <c r="G92" s="499">
        <v>0</v>
      </c>
      <c r="H92" s="499">
        <v>0</v>
      </c>
      <c r="I92" s="499">
        <v>0</v>
      </c>
      <c r="J92" s="499">
        <v>0</v>
      </c>
      <c r="K92" s="499">
        <v>0</v>
      </c>
      <c r="L92" s="500" t="s">
        <v>696</v>
      </c>
      <c r="M92" s="500" t="s">
        <v>696</v>
      </c>
      <c r="N92" s="501">
        <v>0</v>
      </c>
      <c r="O92" s="502" t="s">
        <v>721</v>
      </c>
      <c r="P92" s="504"/>
      <c r="Q92" s="503"/>
      <c r="R92" s="504">
        <f>IF(E92=0,0,(IF(E92="+",1,(IF(E92="++",2,(IF(E92="+++",3,(IF(E92="++++",4,(IF(E92="-",-1,(IF(E92="--",-2,(IF(E92="---",-3,(IF(E92="----",-4,"NA")))))))))))))))))</f>
        <v>0</v>
      </c>
      <c r="S92" s="504">
        <f>IF(F92=0,0,(IF(F92="+",1,(IF(F92="++",2,(IF(F92="+++",3,(IF(F92="++++",4,(IF(F92="-",-1,(IF(F92="--",-2,(IF(F92="---",-3,(IF(F92="----",-4,"NA")))))))))))))))))</f>
        <v>0</v>
      </c>
      <c r="T92" s="504">
        <f t="shared" ref="T92:T96" si="13">IF(G92=0,0,(IF(G92="+",1,(IF(G92="++",2,(IF(G92="+++",3,(IF(G92="++++",4,(IF(G92="-",-1,(IF(G92="--",-2,(IF(G92="---",-3,(IF(G92="----",-4,"NA")))))))))))))))))</f>
        <v>0</v>
      </c>
      <c r="U92" s="504">
        <f t="shared" ref="U92:U96" si="14">IF(H92=0,0,(IF(H92="+",1,(IF(H92="++",2,(IF(H92="+++",3,(IF(H92="++++",4,(IF(H92="-",-1,(IF(H92="--",-2,(IF(H92="---",-3,(IF(H92="----",-4,"NA")))))))))))))))))</f>
        <v>0</v>
      </c>
      <c r="V92" s="504">
        <f t="shared" ref="V92:V96" si="15">IF(I92=0,0,(IF(I92="+",1,(IF(I92="++",2,(IF(I92="+++",3,(IF(I92="++++",4,(IF(I92="-",-1,(IF(I92="--",-2,(IF(I92="---",-3,(IF(I92="----",-4,"NA")))))))))))))))))</f>
        <v>0</v>
      </c>
      <c r="W92" s="504">
        <f t="shared" ref="W92:W96" si="16">IF(J92=0,0,(IF(J92="+",1,(IF(J92="++",2,(IF(J92="+++",3,(IF(J92="++++",4,(IF(J92="-",-1,(IF(J92="--",-2,(IF(J92="---",-3,(IF(J92="----",-4,"NA")))))))))))))))))</f>
        <v>0</v>
      </c>
      <c r="X92" s="504">
        <f t="shared" ref="X92:X96" si="17">IF(K92=0,0,(IF(K92="+",1,(IF(K92="++",2,(IF(K92="+++",3,(IF(K92="++++",4,(IF(K92="-",-1,(IF(K92="--",-2,(IF(K92="---",-3,(IF(K92="----",-4,"NA")))))))))))))))))</f>
        <v>0</v>
      </c>
      <c r="Y92" s="503"/>
    </row>
    <row r="93" spans="1:25" ht="28" customHeight="1" x14ac:dyDescent="0.5">
      <c r="C93" s="505" t="s">
        <v>699</v>
      </c>
      <c r="D93" s="506" t="str">
        <f>VLOOKUP(C88,overview_of_services!$B$2:$I$88,5,FALSE)</f>
        <v>Domestic Hot Water production subject to Demand Side Management</v>
      </c>
      <c r="E93" s="499">
        <v>0</v>
      </c>
      <c r="F93" s="507" t="s">
        <v>704</v>
      </c>
      <c r="G93" s="499">
        <v>0</v>
      </c>
      <c r="H93" s="499">
        <v>0</v>
      </c>
      <c r="I93" s="499">
        <v>0</v>
      </c>
      <c r="J93" s="499">
        <v>0</v>
      </c>
      <c r="K93" s="499">
        <v>0</v>
      </c>
      <c r="L93" s="500" t="s">
        <v>708</v>
      </c>
      <c r="M93" s="500" t="s">
        <v>708</v>
      </c>
      <c r="N93" s="501">
        <v>2</v>
      </c>
      <c r="O93" s="502" t="s">
        <v>721</v>
      </c>
      <c r="P93" s="504"/>
      <c r="Q93" s="503"/>
      <c r="R93" s="504">
        <f t="shared" ref="R93:R96" si="18">IF(E93=0,0,(IF(E93="+",1,(IF(E93="++",2,(IF(E93="+++",3,(IF(E93="++++",4,(IF(E93="-",-1,(IF(E93="--",-2,(IF(E93="---",-3,(IF(E93="----",-4,"NA")))))))))))))))))</f>
        <v>0</v>
      </c>
      <c r="S93" s="504">
        <f>IF(F93=0,0,(IF(F93="+",1,(IF(F93="++",2,(IF(F93="+++",3,(IF(F93="++++",4,(IF(F93="-",-1,(IF(F93="--",-2,(IF(F93="---",-3,(IF(F93="----",-4,"NA")))))))))))))))))</f>
        <v>2</v>
      </c>
      <c r="T93" s="504">
        <f t="shared" si="13"/>
        <v>0</v>
      </c>
      <c r="U93" s="504">
        <f t="shared" si="14"/>
        <v>0</v>
      </c>
      <c r="V93" s="504">
        <f t="shared" si="15"/>
        <v>0</v>
      </c>
      <c r="W93" s="504">
        <f t="shared" si="16"/>
        <v>0</v>
      </c>
      <c r="X93" s="504">
        <f t="shared" si="17"/>
        <v>0</v>
      </c>
      <c r="Y93" s="503"/>
    </row>
    <row r="94" spans="1:25" ht="21" x14ac:dyDescent="0.5">
      <c r="C94" s="505" t="s">
        <v>703</v>
      </c>
      <c r="D94" s="522">
        <f>VLOOKUP(C88,overview_of_services!$B$2:$I$88,6,FALSE)</f>
        <v>0</v>
      </c>
      <c r="E94" s="507"/>
      <c r="F94" s="499"/>
      <c r="G94" s="499"/>
      <c r="H94" s="499"/>
      <c r="I94" s="499"/>
      <c r="J94" s="499"/>
      <c r="K94" s="499"/>
      <c r="L94" s="500"/>
      <c r="M94" s="500"/>
      <c r="N94" s="501"/>
      <c r="O94" s="502" t="s">
        <v>721</v>
      </c>
      <c r="P94" s="504"/>
      <c r="Q94" s="503"/>
      <c r="R94" s="504">
        <f t="shared" si="18"/>
        <v>0</v>
      </c>
      <c r="S94" s="504">
        <f>IF(F94=0,0,(IF(F94="+",1,(IF(F94="++",2,(IF(F94="+++",3,(IF(F94="++++",4,(IF(F94="-",-1,(IF(F94="--",-2,(IF(F94="---",-3,(IF(F94="----",-4,"NA")))))))))))))))))</f>
        <v>0</v>
      </c>
      <c r="T94" s="504">
        <f t="shared" si="13"/>
        <v>0</v>
      </c>
      <c r="U94" s="504">
        <f t="shared" si="14"/>
        <v>0</v>
      </c>
      <c r="V94" s="504">
        <f t="shared" si="15"/>
        <v>0</v>
      </c>
      <c r="W94" s="504">
        <f t="shared" si="16"/>
        <v>0</v>
      </c>
      <c r="X94" s="504">
        <f t="shared" si="17"/>
        <v>0</v>
      </c>
      <c r="Y94" s="503"/>
    </row>
    <row r="95" spans="1:25" ht="21" x14ac:dyDescent="0.5">
      <c r="C95" s="505" t="s">
        <v>706</v>
      </c>
      <c r="D95" s="522">
        <f>VLOOKUP(C88,overview_of_services!$B$2:$I$88,7,FALSE)</f>
        <v>0</v>
      </c>
      <c r="E95" s="507"/>
      <c r="F95" s="507"/>
      <c r="G95" s="499"/>
      <c r="H95" s="499"/>
      <c r="I95" s="499"/>
      <c r="J95" s="499"/>
      <c r="K95" s="499"/>
      <c r="L95" s="500"/>
      <c r="M95" s="500"/>
      <c r="N95" s="501"/>
      <c r="O95" s="502" t="s">
        <v>721</v>
      </c>
      <c r="P95" s="504"/>
      <c r="Q95" s="503"/>
      <c r="R95" s="504">
        <f t="shared" si="18"/>
        <v>0</v>
      </c>
      <c r="S95" s="504">
        <f>IF(F95=0,0,(IF(F95="+",1,(IF(F95="++",2,(IF(F95="+++",3,(IF(F95="++++",4,(IF(F95="-",-1,(IF(F95="--",-2,(IF(F95="---",-3,(IF(F95="----",-4,"NA")))))))))))))))))</f>
        <v>0</v>
      </c>
      <c r="T95" s="504">
        <f t="shared" si="13"/>
        <v>0</v>
      </c>
      <c r="U95" s="504">
        <f t="shared" si="14"/>
        <v>0</v>
      </c>
      <c r="V95" s="504">
        <f t="shared" si="15"/>
        <v>0</v>
      </c>
      <c r="W95" s="504">
        <f t="shared" si="16"/>
        <v>0</v>
      </c>
      <c r="X95" s="504">
        <f t="shared" si="17"/>
        <v>0</v>
      </c>
      <c r="Y95" s="503"/>
    </row>
    <row r="96" spans="1:25" ht="21" x14ac:dyDescent="0.5">
      <c r="C96" s="505" t="s">
        <v>710</v>
      </c>
      <c r="D96" s="506">
        <f>VLOOKUP(C88,overview_of_services!$B$2:$I$88,8,FALSE)</f>
        <v>0</v>
      </c>
      <c r="E96" s="507"/>
      <c r="F96" s="499"/>
      <c r="G96" s="507"/>
      <c r="H96" s="507"/>
      <c r="I96" s="499"/>
      <c r="J96" s="499"/>
      <c r="K96" s="499"/>
      <c r="L96" s="500"/>
      <c r="M96" s="500"/>
      <c r="N96" s="501"/>
      <c r="O96" s="502"/>
      <c r="P96" s="504"/>
      <c r="Q96" s="503"/>
      <c r="R96" s="504">
        <f t="shared" si="18"/>
        <v>0</v>
      </c>
      <c r="S96" s="504">
        <f>IF(F96=0,0,(IF(F96="+",1,(IF(F96="++",2,(IF(F96="+++",3,(IF(F96="++++",4,(IF(F96="-",-1,(IF(F96="--",-2,(IF(F96="---",-3,(IF(F96="----",-4,"NA")))))))))))))))))</f>
        <v>0</v>
      </c>
      <c r="T96" s="504">
        <f t="shared" si="13"/>
        <v>0</v>
      </c>
      <c r="U96" s="504">
        <f t="shared" si="14"/>
        <v>0</v>
      </c>
      <c r="V96" s="504">
        <f t="shared" si="15"/>
        <v>0</v>
      </c>
      <c r="W96" s="504">
        <f t="shared" si="16"/>
        <v>0</v>
      </c>
      <c r="X96" s="504">
        <f t="shared" si="17"/>
        <v>0</v>
      </c>
      <c r="Y96" s="503"/>
    </row>
    <row r="97" spans="3:25" ht="15" thickBot="1" x14ac:dyDescent="0.4">
      <c r="C97" s="504"/>
      <c r="D97" s="504"/>
      <c r="E97" s="508"/>
      <c r="F97" s="508"/>
      <c r="G97" s="508"/>
      <c r="H97" s="508"/>
      <c r="I97" s="508"/>
      <c r="J97" s="508"/>
      <c r="K97" s="508"/>
      <c r="L97" s="504"/>
      <c r="M97" s="504"/>
      <c r="N97" s="504"/>
      <c r="O97" s="508"/>
      <c r="P97" s="504"/>
      <c r="Q97" s="503"/>
      <c r="R97" s="503"/>
      <c r="S97" s="503"/>
      <c r="T97" s="503"/>
      <c r="U97" s="503"/>
      <c r="V97" s="503"/>
      <c r="W97" s="503"/>
      <c r="X97" s="503"/>
      <c r="Y97" s="503"/>
    </row>
    <row r="98" spans="3:25" ht="15" thickBot="1" x14ac:dyDescent="0.4">
      <c r="C98" s="509"/>
      <c r="D98" s="509" t="s">
        <v>712</v>
      </c>
      <c r="E98" s="510" t="s">
        <v>713</v>
      </c>
      <c r="F98" s="511" t="s">
        <v>713</v>
      </c>
      <c r="G98" s="511" t="s">
        <v>713</v>
      </c>
      <c r="H98" s="511" t="s">
        <v>713</v>
      </c>
      <c r="I98" s="511" t="s">
        <v>713</v>
      </c>
      <c r="J98" s="511" t="s">
        <v>713</v>
      </c>
      <c r="K98" s="511" t="s">
        <v>713</v>
      </c>
      <c r="L98" s="511"/>
      <c r="M98" s="511"/>
      <c r="N98" s="511" t="s">
        <v>713</v>
      </c>
      <c r="O98" s="511" t="s">
        <v>713</v>
      </c>
      <c r="P98" s="504"/>
      <c r="Q98" s="503"/>
      <c r="R98" s="503"/>
      <c r="S98" s="503"/>
      <c r="T98" s="503"/>
      <c r="U98" s="503"/>
      <c r="V98" s="503"/>
      <c r="W98" s="503"/>
      <c r="X98" s="503"/>
      <c r="Y98" s="503"/>
    </row>
    <row r="99" spans="3:25" ht="15" thickBot="1" x14ac:dyDescent="0.4">
      <c r="C99" s="509"/>
      <c r="D99" s="509" t="s">
        <v>714</v>
      </c>
      <c r="E99" s="510"/>
      <c r="F99" s="512"/>
      <c r="G99" s="511"/>
      <c r="H99" s="511"/>
      <c r="I99" s="511"/>
      <c r="J99" s="511"/>
      <c r="K99" s="511"/>
      <c r="L99" s="510"/>
      <c r="M99" s="510"/>
      <c r="N99" s="513"/>
      <c r="O99" s="516"/>
      <c r="P99" s="504"/>
      <c r="Q99" s="503"/>
      <c r="R99" s="503"/>
      <c r="S99" s="503"/>
      <c r="T99" s="503"/>
      <c r="U99" s="503"/>
      <c r="V99" s="503"/>
      <c r="W99" s="503"/>
      <c r="X99" s="503"/>
      <c r="Y99" s="503"/>
    </row>
  </sheetData>
  <sheetProtection algorithmName="SHA-512" hashValue="VxrxwUtgbXTzEcQM7bg4KEdgNu2LsdX/cK19R7WVAe1fX3tcv2zwhsZPa0J/NMKKlhOVO/HrgBp2rZeMBXJzIQ==" saltValue="G0WaXKSRR5dc+8sAp6/GGA==" spinCount="100000" sheet="1" objects="1" scenarios="1"/>
  <mergeCells count="42">
    <mergeCell ref="N76:N77"/>
    <mergeCell ref="O76:O77"/>
    <mergeCell ref="G74:H74"/>
    <mergeCell ref="C76:D77"/>
    <mergeCell ref="E76:K76"/>
    <mergeCell ref="L76:M76"/>
    <mergeCell ref="N90:N91"/>
    <mergeCell ref="O90:O91"/>
    <mergeCell ref="C20:D21"/>
    <mergeCell ref="E20:K20"/>
    <mergeCell ref="L20:M20"/>
    <mergeCell ref="O48:O49"/>
    <mergeCell ref="C62:D63"/>
    <mergeCell ref="E62:K62"/>
    <mergeCell ref="N62:N63"/>
    <mergeCell ref="O62:O63"/>
    <mergeCell ref="N48:N49"/>
    <mergeCell ref="L62:M62"/>
    <mergeCell ref="G60:H60"/>
    <mergeCell ref="C48:D49"/>
    <mergeCell ref="E48:K48"/>
    <mergeCell ref="L48:M48"/>
    <mergeCell ref="G4:H4"/>
    <mergeCell ref="G88:H88"/>
    <mergeCell ref="C90:D91"/>
    <mergeCell ref="E90:K90"/>
    <mergeCell ref="L90:M90"/>
    <mergeCell ref="G18:H18"/>
    <mergeCell ref="C6:D7"/>
    <mergeCell ref="E6:K6"/>
    <mergeCell ref="C34:D35"/>
    <mergeCell ref="L34:M34"/>
    <mergeCell ref="G32:H32"/>
    <mergeCell ref="E34:K34"/>
    <mergeCell ref="N6:N7"/>
    <mergeCell ref="O6:O7"/>
    <mergeCell ref="L6:M6"/>
    <mergeCell ref="G46:H46"/>
    <mergeCell ref="O20:O21"/>
    <mergeCell ref="O34:O35"/>
    <mergeCell ref="N20:N21"/>
    <mergeCell ref="N34:N35"/>
  </mergeCells>
  <conditionalFormatting sqref="B4">
    <cfRule type="expression" dxfId="774" priority="99">
      <formula>E4="yes"</formula>
    </cfRule>
  </conditionalFormatting>
  <conditionalFormatting sqref="B18">
    <cfRule type="expression" dxfId="773" priority="97">
      <formula>E18="yes"</formula>
    </cfRule>
  </conditionalFormatting>
  <conditionalFormatting sqref="B32">
    <cfRule type="expression" dxfId="772" priority="95">
      <formula>E32="yes"</formula>
    </cfRule>
  </conditionalFormatting>
  <conditionalFormatting sqref="B46">
    <cfRule type="expression" dxfId="771" priority="93">
      <formula>E46="yes"</formula>
    </cfRule>
  </conditionalFormatting>
  <conditionalFormatting sqref="B60">
    <cfRule type="expression" dxfId="770" priority="91">
      <formula>E60="yes"</formula>
    </cfRule>
  </conditionalFormatting>
  <conditionalFormatting sqref="C64:G64 C67:O68 F65:G66 C22:G22 C26:O26 F23:G24 C25 C40:O40 G36:G39 C50:G50 C54:O54 F51:G53 E78:K82 C8:O12 E25:G25">
    <cfRule type="expression" dxfId="769" priority="68">
      <formula>$D8=0</formula>
    </cfRule>
  </conditionalFormatting>
  <conditionalFormatting sqref="C65:D66 I65:K66 I64:L64 N64:O64 O65:O66">
    <cfRule type="expression" dxfId="768" priority="67">
      <formula>$D64=0</formula>
    </cfRule>
  </conditionalFormatting>
  <conditionalFormatting sqref="C68">
    <cfRule type="expression" dxfId="767" priority="66">
      <formula>$D68=0</formula>
    </cfRule>
  </conditionalFormatting>
  <conditionalFormatting sqref="C12">
    <cfRule type="expression" dxfId="766" priority="78">
      <formula>$D12=0</formula>
    </cfRule>
  </conditionalFormatting>
  <conditionalFormatting sqref="D12">
    <cfRule type="expression" dxfId="765" priority="77">
      <formula>$D12=0</formula>
    </cfRule>
  </conditionalFormatting>
  <conditionalFormatting sqref="C23:D24 I22:O24 J25:O25 D25">
    <cfRule type="expression" dxfId="764" priority="76">
      <formula>$D22=0</formula>
    </cfRule>
  </conditionalFormatting>
  <conditionalFormatting sqref="C26">
    <cfRule type="expression" dxfId="763" priority="75">
      <formula>$D26=0</formula>
    </cfRule>
  </conditionalFormatting>
  <conditionalFormatting sqref="D26">
    <cfRule type="expression" dxfId="762" priority="74">
      <formula>$D26=0</formula>
    </cfRule>
  </conditionalFormatting>
  <conditionalFormatting sqref="C36:D39 I36:L36 I37:K38 N36:O36 O37:O39 J39:K39">
    <cfRule type="expression" dxfId="761" priority="73">
      <formula>$D36=0</formula>
    </cfRule>
  </conditionalFormatting>
  <conditionalFormatting sqref="C40">
    <cfRule type="expression" dxfId="760" priority="72">
      <formula>$D40=0</formula>
    </cfRule>
  </conditionalFormatting>
  <conditionalFormatting sqref="D40">
    <cfRule type="expression" dxfId="759" priority="71">
      <formula>$D40=0</formula>
    </cfRule>
  </conditionalFormatting>
  <conditionalFormatting sqref="C51:D53 I50:L50 I51:K53 N50:O50 O51:O53">
    <cfRule type="expression" dxfId="758" priority="70">
      <formula>$D50=0</formula>
    </cfRule>
  </conditionalFormatting>
  <conditionalFormatting sqref="C54">
    <cfRule type="expression" dxfId="757" priority="69">
      <formula>$D54=0</formula>
    </cfRule>
  </conditionalFormatting>
  <conditionalFormatting sqref="D68">
    <cfRule type="expression" dxfId="756" priority="65">
      <formula>$D68=0</formula>
    </cfRule>
  </conditionalFormatting>
  <conditionalFormatting sqref="E23:E24">
    <cfRule type="expression" dxfId="755" priority="52">
      <formula>$D23=0</formula>
    </cfRule>
  </conditionalFormatting>
  <conditionalFormatting sqref="E53">
    <cfRule type="expression" dxfId="754" priority="51">
      <formula>$D53=0</formula>
    </cfRule>
  </conditionalFormatting>
  <conditionalFormatting sqref="E51:E52">
    <cfRule type="expression" dxfId="753" priority="50">
      <formula>$D51=0</formula>
    </cfRule>
  </conditionalFormatting>
  <conditionalFormatting sqref="H22:H25">
    <cfRule type="expression" dxfId="752" priority="49">
      <formula>$D22=0</formula>
    </cfRule>
  </conditionalFormatting>
  <conditionalFormatting sqref="H50:H53">
    <cfRule type="expression" dxfId="751" priority="48">
      <formula>$D50=0</formula>
    </cfRule>
  </conditionalFormatting>
  <conditionalFormatting sqref="E36 E39">
    <cfRule type="expression" dxfId="750" priority="47">
      <formula>$D36=0</formula>
    </cfRule>
  </conditionalFormatting>
  <conditionalFormatting sqref="E37:E38">
    <cfRule type="expression" dxfId="749" priority="46">
      <formula>$D37=0</formula>
    </cfRule>
  </conditionalFormatting>
  <conditionalFormatting sqref="F36 F39">
    <cfRule type="expression" dxfId="748" priority="45">
      <formula>$D36=0</formula>
    </cfRule>
  </conditionalFormatting>
  <conditionalFormatting sqref="F37:F38">
    <cfRule type="expression" dxfId="747" priority="44">
      <formula>$D37=0</formula>
    </cfRule>
  </conditionalFormatting>
  <conditionalFormatting sqref="H36:H39">
    <cfRule type="expression" dxfId="746" priority="43">
      <formula>$D36=0</formula>
    </cfRule>
  </conditionalFormatting>
  <conditionalFormatting sqref="E65:E66">
    <cfRule type="expression" dxfId="745" priority="42">
      <formula>$D65=0</formula>
    </cfRule>
  </conditionalFormatting>
  <conditionalFormatting sqref="H64">
    <cfRule type="expression" dxfId="744" priority="41">
      <formula>$D64=0</formula>
    </cfRule>
  </conditionalFormatting>
  <conditionalFormatting sqref="H65:H66">
    <cfRule type="expression" dxfId="743" priority="40">
      <formula>$D65=0</formula>
    </cfRule>
  </conditionalFormatting>
  <conditionalFormatting sqref="M36">
    <cfRule type="expression" dxfId="742" priority="39">
      <formula>$D36=0</formula>
    </cfRule>
  </conditionalFormatting>
  <conditionalFormatting sqref="M50">
    <cfRule type="expression" dxfId="741" priority="38">
      <formula>$D50=0</formula>
    </cfRule>
  </conditionalFormatting>
  <conditionalFormatting sqref="M64">
    <cfRule type="expression" dxfId="740" priority="37">
      <formula>$D64=0</formula>
    </cfRule>
  </conditionalFormatting>
  <conditionalFormatting sqref="N65:N66">
    <cfRule type="expression" dxfId="739" priority="28">
      <formula>$D65=0</formula>
    </cfRule>
  </conditionalFormatting>
  <conditionalFormatting sqref="L37:M39">
    <cfRule type="expression" dxfId="738" priority="35">
      <formula>$D37=0</formula>
    </cfRule>
  </conditionalFormatting>
  <conditionalFormatting sqref="L51:M51">
    <cfRule type="expression" dxfId="737" priority="34">
      <formula>$D51=0</formula>
    </cfRule>
  </conditionalFormatting>
  <conditionalFormatting sqref="L52:M52">
    <cfRule type="expression" dxfId="736" priority="33">
      <formula>$D52=0</formula>
    </cfRule>
  </conditionalFormatting>
  <conditionalFormatting sqref="L53:M53">
    <cfRule type="expression" dxfId="735" priority="32">
      <formula>$D53=0</formula>
    </cfRule>
  </conditionalFormatting>
  <conditionalFormatting sqref="L65:M66">
    <cfRule type="expression" dxfId="734" priority="31">
      <formula>$D65=0</formula>
    </cfRule>
  </conditionalFormatting>
  <conditionalFormatting sqref="N37:N39">
    <cfRule type="expression" dxfId="733" priority="30">
      <formula>$D37=0</formula>
    </cfRule>
  </conditionalFormatting>
  <conditionalFormatting sqref="N51:N53">
    <cfRule type="expression" dxfId="732" priority="29">
      <formula>$D51=0</formula>
    </cfRule>
  </conditionalFormatting>
  <conditionalFormatting sqref="I39">
    <cfRule type="expression" dxfId="731" priority="26">
      <formula>$D39=0</formula>
    </cfRule>
  </conditionalFormatting>
  <conditionalFormatting sqref="I25">
    <cfRule type="expression" dxfId="730" priority="25">
      <formula>$D25=0</formula>
    </cfRule>
  </conditionalFormatting>
  <conditionalFormatting sqref="B74">
    <cfRule type="expression" dxfId="729" priority="24">
      <formula>E74="yes"</formula>
    </cfRule>
  </conditionalFormatting>
  <conditionalFormatting sqref="C78:D82">
    <cfRule type="expression" dxfId="728" priority="23">
      <formula>$D78=0</formula>
    </cfRule>
  </conditionalFormatting>
  <conditionalFormatting sqref="C82">
    <cfRule type="expression" dxfId="727" priority="22">
      <formula>$D82=0</formula>
    </cfRule>
  </conditionalFormatting>
  <conditionalFormatting sqref="D82">
    <cfRule type="expression" dxfId="726" priority="21">
      <formula>$D82=0</formula>
    </cfRule>
  </conditionalFormatting>
  <conditionalFormatting sqref="C92:N96">
    <cfRule type="expression" dxfId="725" priority="5">
      <formula>$D92=0</formula>
    </cfRule>
  </conditionalFormatting>
  <conditionalFormatting sqref="O92:O96">
    <cfRule type="expression" dxfId="724" priority="4">
      <formula>$D92=0</formula>
    </cfRule>
  </conditionalFormatting>
  <conditionalFormatting sqref="O78:O82">
    <cfRule type="expression" dxfId="723" priority="3">
      <formula>$D78=0</formula>
    </cfRule>
  </conditionalFormatting>
  <conditionalFormatting sqref="N78:N82">
    <cfRule type="expression" dxfId="722" priority="1">
      <formula>$D78=0</formula>
    </cfRule>
  </conditionalFormatting>
  <conditionalFormatting sqref="L78:M82">
    <cfRule type="expression" dxfId="721" priority="2">
      <formula>$D78=0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d7464b74e444de1aa82028733c08f6d xmlns="8bc3d27d-51fa-417b-9947-c21868cfc97c">
      <Terms xmlns="http://schemas.microsoft.com/office/infopath/2007/PartnerControls">
        <TermInfo xmlns="http://schemas.microsoft.com/office/infopath/2007/PartnerControls">
          <TermName xmlns="http://schemas.microsoft.com/office/infopath/2007/PartnerControls">WP1</TermName>
          <TermId xmlns="http://schemas.microsoft.com/office/infopath/2007/PartnerControls">40d9910b-34c5-4847-9020-0abccb2743f9</TermId>
        </TermInfo>
      </Terms>
    </hd7464b74e444de1aa82028733c08f6d>
    <ef5918871aac4949adbf9c1884f810c2 xmlns="8bc3d27d-51fa-417b-9947-c21868cfc97c">
      <Terms xmlns="http://schemas.microsoft.com/office/infopath/2007/PartnerControls">
        <TermInfo xmlns="http://schemas.microsoft.com/office/infopath/2007/PartnerControls">
          <TermName xmlns="http://schemas.microsoft.com/office/infopath/2007/PartnerControls">Tool</TermName>
          <TermId xmlns="http://schemas.microsoft.com/office/infopath/2007/PartnerControls">45541538-81a2-48c5-a3fb-fe08c96264e0</TermId>
        </TermInfo>
      </Terms>
    </ef5918871aac4949adbf9c1884f810c2>
    <Due_x0020_by xmlns="8bc3d27d-51fa-417b-9947-c21868cfc97c" xsi:nil="true"/>
    <Usage xmlns="8bc3d27d-51fa-417b-9947-c21868cfc97c" xsi:nil="true"/>
    <p0d8e8f002cf4aa0b1be8c688fa59aed xmlns="8bc3d27d-51fa-417b-9947-c21868cfc97c">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da78ac1b-6fd3-4a94-82d1-4202f4dd5466</TermId>
        </TermInfo>
      </Terms>
    </p0d8e8f002cf4aa0b1be8c688fa59aed>
    <TaxCatchAll xmlns="8bc3d27d-51fa-417b-9947-c21868cfc97c">
      <Value>6</Value>
      <Value>5</Value>
      <Value>24</Value>
    </TaxCatchAll>
    <Authors xmlns="8bc3d27d-51fa-417b-9947-c21868cfc97c">
      <UserInfo>
        <DisplayName/>
        <AccountId/>
        <AccountType/>
      </UserInfo>
    </Authors>
    <Owner_x0028_s_x0029_ xmlns="8bc3d27d-51fa-417b-9947-c21868cfc97c"/>
    <Folder xmlns="BB09BC62-0908-47F5-9CB8-4381D11161D8" xsi:nil="true"/>
    <Roadmap xmlns="8bc3d27d-51fa-417b-9947-c21868cfc97c" xsi:nil="true"/>
    <Task xmlns="8bc3d27d-51fa-417b-9947-c21868cfc97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EnergyVille Documents Project" ma:contentTypeID="0x0101004FBE71E05C50DB4CAC702ADC8CAC277400012EB7FC9DF1A4469F73F09BF7F83809" ma:contentTypeVersion="6" ma:contentTypeDescription="" ma:contentTypeScope="" ma:versionID="1ad9ee32bb405559775e23d099a4ac2f">
  <xsd:schema xmlns:xsd="http://www.w3.org/2001/XMLSchema" xmlns:xs="http://www.w3.org/2001/XMLSchema" xmlns:p="http://schemas.microsoft.com/office/2006/metadata/properties" xmlns:ns2="8bc3d27d-51fa-417b-9947-c21868cfc97c" xmlns:ns3="BB09BC62-0908-47F5-9CB8-4381D11161D8" xmlns:ns4="bb09bc62-0908-47f5-9cb8-4381d11161d8" targetNamespace="http://schemas.microsoft.com/office/2006/metadata/properties" ma:root="true" ma:fieldsID="5b158b33c9b0e1520bd3a17c91b44431" ns2:_="" ns3:_="" ns4:_="">
    <xsd:import namespace="8bc3d27d-51fa-417b-9947-c21868cfc97c"/>
    <xsd:import namespace="BB09BC62-0908-47F5-9CB8-4381D11161D8"/>
    <xsd:import namespace="bb09bc62-0908-47f5-9cb8-4381d11161d8"/>
    <xsd:element name="properties">
      <xsd:complexType>
        <xsd:sequence>
          <xsd:element name="documentManagement">
            <xsd:complexType>
              <xsd:all>
                <xsd:element ref="ns2:Task" minOccurs="0"/>
                <xsd:element ref="ns2:Authors"/>
                <xsd:element ref="ns2:Roadmap" minOccurs="0"/>
                <xsd:element ref="ns2:Usage" minOccurs="0"/>
                <xsd:element ref="ns2:Owner_x0028_s_x0029_" minOccurs="0"/>
                <xsd:element ref="ns2:Due_x0020_by" minOccurs="0"/>
                <xsd:element ref="ns2:TaxCatchAllLabel" minOccurs="0"/>
                <xsd:element ref="ns2:ef5918871aac4949adbf9c1884f810c2" minOccurs="0"/>
                <xsd:element ref="ns2:hd7464b74e444de1aa82028733c08f6d" minOccurs="0"/>
                <xsd:element ref="ns2:p0d8e8f002cf4aa0b1be8c688fa59aed" minOccurs="0"/>
                <xsd:element ref="ns2:TaxCatchAll" minOccurs="0"/>
                <xsd:element ref="ns3:Folder" minOccurs="0"/>
                <xsd:element ref="ns3:MediaServiceMetadata" minOccurs="0"/>
                <xsd:element ref="ns3:MediaServiceFastMetadata" minOccurs="0"/>
                <xsd:element ref="ns2:SharedWithUsers" minOccurs="0"/>
                <xsd:element ref="ns2:SharedWithDetails" minOccurs="0"/>
                <xsd:element ref="ns4:MediaServiceDateTaken" minOccurs="0"/>
                <xsd:element ref="ns4:MediaServiceAutoTags" minOccurs="0"/>
                <xsd:element ref="ns4:MediaServiceLocation"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c3d27d-51fa-417b-9947-c21868cfc97c" elementFormDefault="qualified">
    <xsd:import namespace="http://schemas.microsoft.com/office/2006/documentManagement/types"/>
    <xsd:import namespace="http://schemas.microsoft.com/office/infopath/2007/PartnerControls"/>
    <xsd:element name="Task" ma:index="2" nillable="true" ma:displayName="Task" ma:internalName="Task">
      <xsd:simpleType>
        <xsd:restriction base="dms:Text">
          <xsd:maxLength value="255"/>
        </xsd:restriction>
      </xsd:simpleType>
    </xsd:element>
    <xsd:element name="Authors" ma:index="5" ma:displayName="Authors" ma:list="UserInfo" ma:SharePointGroup="0" ma:internalName="Authors" ma:showField="Titl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Roadmap" ma:index="7" nillable="true" ma:displayName="Roadmap" ma:internalName="Roadmap">
      <xsd:simpleType>
        <xsd:restriction base="dms:Text">
          <xsd:maxLength value="255"/>
        </xsd:restriction>
      </xsd:simpleType>
    </xsd:element>
    <xsd:element name="Usage" ma:index="8" nillable="true" ma:displayName="Usage" ma:internalName="Usage">
      <xsd:simpleType>
        <xsd:restriction base="dms:Text">
          <xsd:maxLength value="255"/>
        </xsd:restriction>
      </xsd:simpleType>
    </xsd:element>
    <xsd:element name="Owner_x0028_s_x0029_" ma:index="9" nillable="true" ma:displayName="Owner(s)" ma:internalName="Owner_x0028_s_x0029_">
      <xsd:complexType>
        <xsd:complexContent>
          <xsd:extension base="dms:MultiChoice">
            <xsd:sequence>
              <xsd:element name="Value" maxOccurs="unbounded" minOccurs="0" nillable="true">
                <xsd:simpleType>
                  <xsd:restriction base="dms:Choice">
                    <xsd:enumeration value="ABB"/>
                    <xsd:enumeration value="Actility"/>
                    <xsd:enumeration value="Condugo REstore"/>
                    <xsd:enumeration value="Eandis"/>
                    <xsd:enumeration value="Enervalis"/>
                    <xsd:enumeration value="Engie"/>
                    <xsd:enumeration value="fifthplay"/>
                    <xsd:enumeration value="imec"/>
                    <xsd:enumeration value="Infrax"/>
                    <xsd:enumeration value="KU Leuven"/>
                    <xsd:enumeration value="LRM"/>
                    <xsd:enumeration value="Nuhma"/>
                    <xsd:enumeration value="Proximus"/>
                    <xsd:enumeration value="Siemens"/>
                    <xsd:enumeration value="UHasselt"/>
                    <xsd:enumeration value="VITO"/>
                  </xsd:restriction>
                </xsd:simpleType>
              </xsd:element>
            </xsd:sequence>
          </xsd:extension>
        </xsd:complexContent>
      </xsd:complexType>
    </xsd:element>
    <xsd:element name="Due_x0020_by" ma:index="10" nillable="true" ma:displayName="Due by" ma:format="DateOnly" ma:internalName="Due_x0020_by" ma:readOnly="false">
      <xsd:simpleType>
        <xsd:restriction base="dms:DateTime"/>
      </xsd:simpleType>
    </xsd:element>
    <xsd:element name="TaxCatchAllLabel" ma:index="11" nillable="true" ma:displayName="Taxonomy Catch All Column1" ma:hidden="true" ma:list="{9cf12056-a520-456a-a6be-bc10006d612d}" ma:internalName="TaxCatchAllLabel" ma:readOnly="true" ma:showField="CatchAllDataLabel" ma:web="8bc3d27d-51fa-417b-9947-c21868cfc97c">
      <xsd:complexType>
        <xsd:complexContent>
          <xsd:extension base="dms:MultiChoiceLookup">
            <xsd:sequence>
              <xsd:element name="Value" type="dms:Lookup" maxOccurs="unbounded" minOccurs="0" nillable="true"/>
            </xsd:sequence>
          </xsd:extension>
        </xsd:complexContent>
      </xsd:complexType>
    </xsd:element>
    <xsd:element name="ef5918871aac4949adbf9c1884f810c2" ma:index="13" ma:taxonomy="true" ma:internalName="ef5918871aac4949adbf9c1884f810c2" ma:taxonomyFieldName="Document_x0020_type" ma:displayName="Document type" ma:default="" ma:fieldId="{ef591887-1aac-4949-adbf-9c1884f810c2}" ma:sspId="1e0e2d9c-beaf-4570-a308-cb56a3dd21a3" ma:termSetId="a1aca0af-099e-4afb-b49e-8a72fd1501d8" ma:anchorId="00000000-0000-0000-0000-000000000000" ma:open="false" ma:isKeyword="false">
      <xsd:complexType>
        <xsd:sequence>
          <xsd:element ref="pc:Terms" minOccurs="0" maxOccurs="1"/>
        </xsd:sequence>
      </xsd:complexType>
    </xsd:element>
    <xsd:element name="hd7464b74e444de1aa82028733c08f6d" ma:index="15" ma:taxonomy="true" ma:internalName="hd7464b74e444de1aa82028733c08f6d" ma:taxonomyFieldName="Work_x0020_packages" ma:displayName="Work packages" ma:default="" ma:fieldId="{1d7464b7-4e44-4de1-aa82-028733c08f6d}" ma:sspId="1e0e2d9c-beaf-4570-a308-cb56a3dd21a3" ma:termSetId="d5be66a3-67e6-403b-b03a-f3d0bbe22201" ma:anchorId="00000000-0000-0000-0000-000000000000" ma:open="false" ma:isKeyword="false">
      <xsd:complexType>
        <xsd:sequence>
          <xsd:element ref="pc:Terms" minOccurs="0" maxOccurs="1"/>
        </xsd:sequence>
      </xsd:complexType>
    </xsd:element>
    <xsd:element name="p0d8e8f002cf4aa0b1be8c688fa59aed" ma:index="19" ma:taxonomy="true" ma:internalName="p0d8e8f002cf4aa0b1be8c688fa59aed" ma:taxonomyFieldName="document_x0020_status" ma:displayName="Document status" ma:default="" ma:fieldId="{90d8e8f0-02cf-4aa0-b1be-8c688fa59aed}" ma:sspId="1e0e2d9c-beaf-4570-a308-cb56a3dd21a3" ma:termSetId="d10d263e-4df2-4b4f-9b9e-71a998f167fe"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9cf12056-a520-456a-a6be-bc10006d612d}" ma:internalName="TaxCatchAll" ma:showField="CatchAllData" ma:web="8bc3d27d-51fa-417b-9947-c21868cfc97c">
      <xsd:complexType>
        <xsd:complexContent>
          <xsd:extension base="dms:MultiChoiceLookup">
            <xsd:sequence>
              <xsd:element name="Value" type="dms:Lookup" maxOccurs="unbounded" minOccurs="0" nillable="true"/>
            </xsd:sequence>
          </xsd:extension>
        </xsd:complexContent>
      </xsd:complexType>
    </xsd:element>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09BC62-0908-47F5-9CB8-4381D11161D8" elementFormDefault="qualified">
    <xsd:import namespace="http://schemas.microsoft.com/office/2006/documentManagement/types"/>
    <xsd:import namespace="http://schemas.microsoft.com/office/infopath/2007/PartnerControls"/>
    <xsd:element name="Folder" ma:index="22" nillable="true" ma:displayName="Folder" ma:format="Dropdown" ma:internalName="Folder">
      <xsd:simpleType>
        <xsd:restriction base="dms:Choice">
          <xsd:enumeration value="Shared EnergyVille"/>
          <xsd:enumeration value="Confidential EnergyVille"/>
          <xsd:enumeration value="Confidential EnergyVille + Partners"/>
        </xsd:restriction>
      </xsd:simpleType>
    </xsd:element>
    <xsd:element name="MediaServiceMetadata" ma:index="23" nillable="true" ma:displayName="MediaServiceMetadata" ma:description="" ma:hidden="true" ma:internalName="MediaServiceMetadata" ma:readOnly="true">
      <xsd:simpleType>
        <xsd:restriction base="dms:Note"/>
      </xsd:simpleType>
    </xsd:element>
    <xsd:element name="MediaServiceFastMetadata" ma:index="24"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09bc62-0908-47f5-9cb8-4381d11161d8" elementFormDefault="qualified">
    <xsd:import namespace="http://schemas.microsoft.com/office/2006/documentManagement/types"/>
    <xsd:import namespace="http://schemas.microsoft.com/office/infopath/2007/PartnerControls"/>
    <xsd:element name="MediaServiceDateTaken" ma:index="29" nillable="true" ma:displayName="MediaServiceDateTaken" ma:hidden="true" ma:internalName="MediaServiceDateTaken" ma:readOnly="true">
      <xsd:simpleType>
        <xsd:restriction base="dms:Text"/>
      </xsd:simpleType>
    </xsd:element>
    <xsd:element name="MediaServiceAutoTags" ma:index="30" nillable="true" ma:displayName="Tags" ma:internalName="MediaServiceAutoTags" ma:readOnly="true">
      <xsd:simpleType>
        <xsd:restriction base="dms:Text"/>
      </xsd:simpleType>
    </xsd:element>
    <xsd:element name="MediaServiceLocation" ma:index="31" nillable="true" ma:displayName="Location" ma:internalName="MediaServiceLocation"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6" ma:displayName="Title"/>
        <xsd:element ref="dc:subject" minOccurs="0" maxOccurs="1" ma:index="26" ma:displayName="Subject"/>
        <xsd:element ref="dc:description" minOccurs="0" maxOccurs="1"/>
        <xsd:element name="keywords" minOccurs="0" maxOccurs="1" type="xsd:string" ma:index="2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1DA7FD-F123-47E1-93BE-A861C49904B7}">
  <ds:schemaRefs>
    <ds:schemaRef ds:uri="http://schemas.microsoft.com/office/2006/metadata/properties"/>
    <ds:schemaRef ds:uri="bb09bc62-0908-47f5-9cb8-4381d11161d8"/>
    <ds:schemaRef ds:uri="http://purl.org/dc/terms/"/>
    <ds:schemaRef ds:uri="http://purl.org/dc/dcmitype/"/>
    <ds:schemaRef ds:uri="http://schemas.microsoft.com/office/2006/documentManagement/types"/>
    <ds:schemaRef ds:uri="http://schemas.openxmlformats.org/package/2006/metadata/core-properties"/>
    <ds:schemaRef ds:uri="BB09BC62-0908-47F5-9CB8-4381D11161D8"/>
    <ds:schemaRef ds:uri="http://purl.org/dc/elements/1.1/"/>
    <ds:schemaRef ds:uri="http://schemas.microsoft.com/office/infopath/2007/PartnerControls"/>
    <ds:schemaRef ds:uri="8bc3d27d-51fa-417b-9947-c21868cfc97c"/>
    <ds:schemaRef ds:uri="http://www.w3.org/XML/1998/namespace"/>
  </ds:schemaRefs>
</ds:datastoreItem>
</file>

<file path=customXml/itemProps2.xml><?xml version="1.0" encoding="utf-8"?>
<ds:datastoreItem xmlns:ds="http://schemas.openxmlformats.org/officeDocument/2006/customXml" ds:itemID="{5F14B17C-031D-437A-A0DB-112FD1C1FF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c3d27d-51fa-417b-9947-c21868cfc97c"/>
    <ds:schemaRef ds:uri="BB09BC62-0908-47F5-9CB8-4381D11161D8"/>
    <ds:schemaRef ds:uri="bb09bc62-0908-47f5-9cb8-4381d11161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E072A2-6C9B-473B-9FF7-2CB04F6B9D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6</vt:i4>
      </vt:variant>
    </vt:vector>
  </HeadingPairs>
  <TitlesOfParts>
    <vt:vector size="24" baseType="lpstr">
      <vt:lpstr>INFO</vt:lpstr>
      <vt:lpstr>Building Information</vt:lpstr>
      <vt:lpstr>Calculation Sheet</vt:lpstr>
      <vt:lpstr>Results</vt:lpstr>
      <vt:lpstr>Weightings</vt:lpstr>
      <vt:lpstr>overview_of_services</vt:lpstr>
      <vt:lpstr>Feedback</vt:lpstr>
      <vt:lpstr>heating</vt:lpstr>
      <vt:lpstr>dhw</vt:lpstr>
      <vt:lpstr>cooling</vt:lpstr>
      <vt:lpstr>ventilation</vt:lpstr>
      <vt:lpstr>lighting</vt:lpstr>
      <vt:lpstr>DE</vt:lpstr>
      <vt:lpstr>electricity</vt:lpstr>
      <vt:lpstr>EV</vt:lpstr>
      <vt:lpstr>MC</vt:lpstr>
      <vt:lpstr>various</vt:lpstr>
      <vt:lpstr>_general</vt:lpstr>
      <vt:lpstr>no</vt:lpstr>
      <vt:lpstr>No_storage_present</vt:lpstr>
      <vt:lpstr>non_residential</vt:lpstr>
      <vt:lpstr>residential</vt:lpstr>
      <vt:lpstr>Storage_present</vt:lpstr>
      <vt:lpstr>yes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Combined Service Catalogue - SRI Task 1 - 2017-07-07</dc:title>
  <dc:subject/>
  <dc:creator>Uslar, Mathias</dc:creator>
  <cp:keywords/>
  <dc:description/>
  <cp:lastModifiedBy>Claus Andreasson</cp:lastModifiedBy>
  <cp:revision/>
  <cp:lastPrinted>2019-09-13T08:16:03Z</cp:lastPrinted>
  <dcterms:created xsi:type="dcterms:W3CDTF">2017-04-11T20:49:12Z</dcterms:created>
  <dcterms:modified xsi:type="dcterms:W3CDTF">2019-11-06T11:54:48Z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0x0101004FBE71E05C50DB4CAC702ADC8CAC277400012EB7FC9DF1A4469F73F09BF7F83809</vt:lpwstr>
  </property>
  <property fmtid="{D5CDD505-2E9C-101B-9397-08002B2CF9AE}" pid="3" name="document status">
    <vt:lpwstr>5;#Draft|da78ac1b-6fd3-4a94-82d1-4202f4dd5466</vt:lpwstr>
  </property>
  <property fmtid="{D5CDD505-2E9C-101B-9397-08002B2CF9AE}" pid="4" name="Work packages">
    <vt:lpwstr>6;#WP1|40d9910b-34c5-4847-9020-0abccb2743f9</vt:lpwstr>
  </property>
  <property fmtid="{D5CDD505-2E9C-101B-9397-08002B2CF9AE}" pid="5" name="Document type">
    <vt:lpwstr>24;#Tool|45541538-81a2-48c5-a3fb-fe08c96264e0</vt:lpwstr>
  </property>
</Properties>
</file>